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F:\CSTONEMA\a - current projects\tribal minor NSR\actions\bundle #1\support or docket\final\"/>
    </mc:Choice>
  </mc:AlternateContent>
  <bookViews>
    <workbookView xWindow="0" yWindow="0" windowWidth="25605" windowHeight="16065" tabRatio="771" activeTab="4"/>
  </bookViews>
  <sheets>
    <sheet name="Inputs" sheetId="8" r:id="rId1"/>
    <sheet name="Output" sheetId="13" r:id="rId2"/>
    <sheet name="Dry Cleaner" sheetId="1" r:id="rId3"/>
    <sheet name="DV-IDENTITY-0" sheetId="20" state="veryHidden" r:id="rId4"/>
    <sheet name="Boiler" sheetId="4" r:id="rId5"/>
  </sheets>
  <definedNames>
    <definedName name="_xlnm.Print_Area" localSheetId="0">Inputs!$A$1:$N$29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11" i="1" l="1"/>
  <c r="B11" i="1"/>
  <c r="H47" i="4"/>
  <c r="E11" i="1"/>
  <c r="D11" i="1"/>
  <c r="E44" i="4"/>
  <c r="I28" i="4"/>
  <c r="H31" i="4"/>
  <c r="E28" i="4"/>
  <c r="E12" i="4"/>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L29" i="8"/>
  <c r="L28" i="8"/>
  <c r="B5" i="4"/>
  <c r="E33" i="4"/>
  <c r="G49" i="4"/>
  <c r="G24" i="8"/>
  <c r="CG18" i="20"/>
  <c r="CE18" i="20"/>
  <c r="GJ68" i="20"/>
  <c r="AK34" i="20"/>
  <c r="AG34" i="20"/>
  <c r="Y32" i="20"/>
  <c r="HV42" i="20"/>
  <c r="AA32" i="20"/>
  <c r="AH34" i="20"/>
  <c r="AL34" i="20"/>
  <c r="HU42" i="20"/>
  <c r="M76" i="20"/>
  <c r="AM34" i="20"/>
  <c r="AI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HR42" i="20"/>
  <c r="FE13" i="20"/>
  <c r="HQ42" i="20"/>
  <c r="FF13" i="20"/>
  <c r="HS42" i="20"/>
  <c r="FH13" i="20"/>
  <c r="FG13" i="20"/>
  <c r="HT42" i="20"/>
  <c r="E49" i="4"/>
  <c r="F49" i="4"/>
  <c r="K33" i="4"/>
  <c r="J49" i="4"/>
  <c r="G33" i="4"/>
  <c r="I49" i="4"/>
  <c r="F11" i="1"/>
  <c r="H8" i="13"/>
  <c r="V32" i="20"/>
  <c r="F9" i="20"/>
  <c r="I17" i="4"/>
  <c r="G17" i="4"/>
  <c r="G9" i="4"/>
  <c r="D9" i="13"/>
  <c r="H49" i="4"/>
  <c r="K49" i="4"/>
  <c r="J17" i="4"/>
  <c r="E17" i="4"/>
  <c r="E9" i="4"/>
  <c r="B9" i="13"/>
  <c r="B10" i="13"/>
  <c r="H17" i="4"/>
  <c r="F33" i="4"/>
  <c r="F17" i="4"/>
  <c r="F9" i="4"/>
  <c r="C9" i="13"/>
  <c r="C10" i="13"/>
  <c r="K17" i="4"/>
  <c r="K9" i="4"/>
  <c r="H9" i="13"/>
  <c r="J33" i="4"/>
  <c r="J9" i="4"/>
  <c r="G9" i="13"/>
  <c r="H33" i="4"/>
  <c r="I33" i="4"/>
  <c r="I9" i="4"/>
  <c r="F9" i="13"/>
  <c r="F10" i="13"/>
  <c r="H10" i="13"/>
  <c r="E9" i="20"/>
  <c r="D10" i="13"/>
  <c r="A9" i="20"/>
  <c r="G10" i="13"/>
  <c r="D9" i="20"/>
  <c r="C9" i="20"/>
  <c r="H9" i="4"/>
  <c r="E9" i="13"/>
  <c r="B9" i="20"/>
  <c r="E10" i="13"/>
</calcChain>
</file>

<file path=xl/sharedStrings.xml><?xml version="1.0" encoding="utf-8"?>
<sst xmlns="http://schemas.openxmlformats.org/spreadsheetml/2006/main" count="159" uniqueCount="86">
  <si>
    <t>PM</t>
  </si>
  <si>
    <t>CO</t>
  </si>
  <si>
    <t>Pollutant</t>
  </si>
  <si>
    <t>(ton/yr)</t>
  </si>
  <si>
    <t>VOC</t>
  </si>
  <si>
    <t>Natural Gas</t>
  </si>
  <si>
    <t>Blue values are results</t>
  </si>
  <si>
    <t>%</t>
  </si>
  <si>
    <t>Purple values are pulled from other worksheet</t>
  </si>
  <si>
    <t>Y</t>
  </si>
  <si>
    <t>Facility Profile</t>
  </si>
  <si>
    <t>Fuels Used</t>
  </si>
  <si>
    <t>(Y or N)</t>
  </si>
  <si>
    <t>Natural Gas-</t>
  </si>
  <si>
    <t>(%)</t>
  </si>
  <si>
    <t>Directions -</t>
  </si>
  <si>
    <t>Sulfur %</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</si>
  <si>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</si>
  <si>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</si>
  <si>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(MMBtu/hr)</t>
  </si>
  <si>
    <t>Heat Input (MMBtu/hr)</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</si>
  <si>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</si>
  <si>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</si>
  <si>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</si>
  <si>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</si>
  <si>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Propane-</t>
  </si>
  <si>
    <t xml:space="preserve"> </t>
  </si>
  <si>
    <t>Methodology</t>
  </si>
  <si>
    <t>Note:</t>
  </si>
  <si>
    <r>
      <t>PM</t>
    </r>
    <r>
      <rPr>
        <vertAlign val="subscript"/>
        <sz val="10"/>
        <rFont val="Arial"/>
        <family val="2"/>
      </rPr>
      <t>10</t>
    </r>
    <r>
      <rPr>
        <vertAlign val="superscript"/>
        <sz val="10"/>
        <rFont val="Arial"/>
        <family val="2"/>
      </rPr>
      <t>2</t>
    </r>
  </si>
  <si>
    <t>Total PTE</t>
  </si>
  <si>
    <t xml:space="preserve"> -</t>
  </si>
  <si>
    <t>Default = 15</t>
  </si>
  <si>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</si>
  <si>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</si>
  <si>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</si>
  <si>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</si>
  <si>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</si>
  <si>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</si>
  <si>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</si>
  <si>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</si>
  <si>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rPr>
      <t xml:space="preserve"> (lb/MMSCF)</t>
    </r>
  </si>
  <si>
    <t>Propane</t>
  </si>
  <si>
    <t>Sulfur Content:</t>
  </si>
  <si>
    <t>PTE (ton/yr) = Heat Input (MMBtu/hr) x 1 kgal/91.5 MMBtu x EF (lb/kgal) x 8760 hr/yr x 1 ton/2000 lb</t>
  </si>
  <si>
    <t>Worst Case PTE (ton/yr)</t>
  </si>
  <si>
    <r>
      <t>Emission Factor</t>
    </r>
    <r>
      <rPr>
        <vertAlign val="superscript"/>
        <sz val="10"/>
        <rFont val="Arial"/>
        <family val="2"/>
      </rPr>
      <t>1</t>
    </r>
    <r>
      <rPr>
        <sz val="10"/>
        <rFont val="Arial"/>
      </rPr>
      <t xml:space="preserve"> (lbs/kgal)</t>
    </r>
  </si>
  <si>
    <r>
      <t>Emission Factor</t>
    </r>
    <r>
      <rPr>
        <vertAlign val="superscript"/>
        <sz val="10"/>
        <rFont val="Arial"/>
        <family val="2"/>
      </rPr>
      <t>1</t>
    </r>
    <r>
      <rPr>
        <sz val="10"/>
        <rFont val="Arial"/>
      </rPr>
      <t xml:space="preserve"> (lb/kgal)</t>
    </r>
  </si>
  <si>
    <t>(lb/gal)</t>
  </si>
  <si>
    <t>Worst Case Solvent Density-</t>
  </si>
  <si>
    <t>Default = 8.34 lb/gal</t>
  </si>
  <si>
    <t>Default = 100%</t>
  </si>
  <si>
    <t>METHODOLOGY</t>
  </si>
  <si>
    <t>Max. VOC Content</t>
  </si>
  <si>
    <t>Worst Case VOC Content-</t>
  </si>
  <si>
    <t>Density</t>
  </si>
  <si>
    <t>Steam Boiler(s)</t>
  </si>
  <si>
    <t>Emissions from Steam Boiler(s) - Criteria Pollutants</t>
  </si>
  <si>
    <t>Butane</t>
  </si>
  <si>
    <t>PTE (ton/yr) = Heat Input (MMBtu/hr) x 1 kgal/102 MMBtu x EF (lb/kgal) x 8760 hr/yr x 1 ton/2000 lb</t>
  </si>
  <si>
    <t>Facility Total PTE (ton/yr)</t>
  </si>
  <si>
    <t>Total Fuel Combustion Unit Capacity -</t>
  </si>
  <si>
    <t>(%) by wt.</t>
  </si>
  <si>
    <t xml:space="preserve">Enter the facility's information below. 
Write the letter "Y" or "N" next to each fuel type to indicate that the facility does or does not burn that type of fuel. </t>
  </si>
  <si>
    <t xml:space="preserve">The facility wide emissions will be displayed on the "Output" sheet.  Excel chooses the correct criteria pollutant emission rate depending on the type of fuels used.  </t>
  </si>
  <si>
    <t>1. Emission factors are from AP-42, Chapter 1.5, Table 1.5.1 (updated 07/08).</t>
  </si>
  <si>
    <t>Dry Cleaner</t>
  </si>
  <si>
    <t>Emissions from Dry Cleaner</t>
  </si>
  <si>
    <t>PTE of VOC</t>
  </si>
  <si>
    <t>Max. Solvent Consumption-</t>
  </si>
  <si>
    <t>Petroleum Dry Cleaners -</t>
  </si>
  <si>
    <t>Number of Dry Cleaners -</t>
  </si>
  <si>
    <t>(gallon/hr/unit)</t>
  </si>
  <si>
    <t>units</t>
  </si>
  <si>
    <t>Number of Dry Cleaners</t>
  </si>
  <si>
    <t>Max. Solvent Consumption</t>
  </si>
  <si>
    <t>N</t>
  </si>
  <si>
    <t>(gal/hr/unit)</t>
  </si>
  <si>
    <t>Estimated based on manufacturer's specifications.</t>
  </si>
  <si>
    <t>If site-specific information is used, provide a copy of MSDS for this solvent.</t>
  </si>
  <si>
    <t>PTE of VOC (ton/yr) = Number of Dry Cleaners (unit) x Max. Solvent Consumption (gal/hr/unit) x 8760 hr/yr x Density (lb/gal) x VOC Content (%) x 1 ton/2000 lb</t>
  </si>
  <si>
    <t>(unit)</t>
  </si>
  <si>
    <t>Potential To Emit Calculator for Petroleum Dry Cleaning Facilities</t>
  </si>
  <si>
    <t>Butane-</t>
  </si>
  <si>
    <t>Process/Unit</t>
  </si>
  <si>
    <t>Name of the Worst Case Solvent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</si>
</sst>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0"/>
    <numFmt numFmtId="167" formatCode="0.0%"/>
  </numFmts>
  <fonts count="23">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9"/>
      <name val="Arial MT"/>
      <family val="2"/>
    </font>
    <font>
      <sz val="10"/>
      <name val="Arial MT"/>
      <family val="2"/>
    </font>
    <font>
      <sz val="10"/>
      <color rgb="FFFF0000"/>
      <name val="Arial"/>
      <family val="2"/>
    </font>
    <font>
      <sz val="10"/>
      <color rgb="FF7030A0"/>
      <name val="Arial"/>
      <family val="2"/>
    </font>
    <font>
      <b/>
      <sz val="10"/>
      <color rgb="FF0070C0"/>
      <name val="Arial"/>
      <family val="2"/>
    </font>
    <font>
      <sz val="10"/>
      <color rgb="FF0070C0"/>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7">
    <border>
      <left/>
      <right/>
      <top/>
      <bottom/>
      <diagonal/>
    </border>
    <border>
      <left/>
      <right/>
      <top style="thick">
        <color auto="1"/>
      </top>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style="thick">
        <color auto="1"/>
      </left>
      <right/>
      <top style="thick">
        <color auto="1"/>
      </top>
      <bottom/>
      <diagonal/>
    </border>
    <border>
      <left/>
      <right/>
      <top/>
      <bottom style="medium">
        <color auto="1"/>
      </bottom>
      <diagonal/>
    </border>
    <border>
      <left style="thick">
        <color auto="1"/>
      </left>
      <right/>
      <top/>
      <bottom style="thick">
        <color auto="1"/>
      </bottom>
      <diagonal/>
    </border>
    <border>
      <left style="thin">
        <color auto="1"/>
      </left>
      <right style="thin">
        <color auto="1"/>
      </right>
      <top style="medium">
        <color auto="1"/>
      </top>
      <bottom style="thin">
        <color auto="1"/>
      </bottom>
      <diagonal/>
    </border>
    <border>
      <left style="thick">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ck">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ck">
        <color auto="1"/>
      </left>
      <right/>
      <top style="double">
        <color auto="1"/>
      </top>
      <bottom style="thick">
        <color auto="1"/>
      </bottom>
      <diagonal/>
    </border>
    <border>
      <left style="medium">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right/>
      <top/>
      <bottom style="thick">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top style="thick">
        <color auto="1"/>
      </top>
      <bottom/>
      <diagonal/>
    </border>
    <border>
      <left style="medium">
        <color auto="1"/>
      </left>
      <right style="thin">
        <color auto="1"/>
      </right>
      <top/>
      <bottom/>
      <diagonal/>
    </border>
    <border>
      <left style="medium">
        <color auto="1"/>
      </left>
      <right style="thin">
        <color auto="1"/>
      </right>
      <top/>
      <bottom style="thick">
        <color auto="1"/>
      </bottom>
      <diagonal/>
    </border>
    <border>
      <left style="thin">
        <color auto="1"/>
      </left>
      <right style="thick">
        <color auto="1"/>
      </right>
      <top style="thin">
        <color auto="1"/>
      </top>
      <bottom style="thin">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dashed">
        <color auto="1"/>
      </left>
      <right style="thick">
        <color auto="1"/>
      </right>
      <top style="thin">
        <color auto="1"/>
      </top>
      <bottom style="thick">
        <color auto="1"/>
      </bottom>
      <diagonal/>
    </border>
    <border>
      <left/>
      <right style="thick">
        <color auto="1"/>
      </right>
      <top/>
      <bottom style="thick">
        <color auto="1"/>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style="medium">
        <color indexed="8"/>
      </top>
      <bottom style="thick">
        <color indexed="8"/>
      </bottom>
      <diagonal/>
    </border>
    <border>
      <left style="thick">
        <color indexed="8"/>
      </left>
      <right/>
      <top style="thick">
        <color indexed="8"/>
      </top>
      <bottom/>
      <diagonal/>
    </border>
    <border>
      <left style="thick">
        <color indexed="8"/>
      </left>
      <right/>
      <top/>
      <bottom/>
      <diagonal/>
    </border>
    <border>
      <left style="medium">
        <color indexed="8"/>
      </left>
      <right style="thin">
        <color indexed="8"/>
      </right>
      <top style="thick">
        <color indexed="8"/>
      </top>
      <bottom/>
      <diagonal/>
    </border>
    <border>
      <left style="thin">
        <color indexed="8"/>
      </left>
      <right style="medium">
        <color indexed="8"/>
      </right>
      <top style="thick">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medium">
        <color indexed="8"/>
      </top>
      <bottom style="thick">
        <color indexed="8"/>
      </bottom>
      <diagonal/>
    </border>
    <border>
      <left style="thin">
        <color auto="1"/>
      </left>
      <right style="thick">
        <color auto="1"/>
      </right>
      <top style="thick">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double">
        <color auto="1"/>
      </top>
      <bottom style="thick">
        <color auto="1"/>
      </bottom>
      <diagonal/>
    </border>
    <border>
      <left style="thin">
        <color indexed="8"/>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0" borderId="0" xfId="0" applyFont="1"/>
    <xf numFmtId="0" fontId="5" fillId="0" borderId="0" xfId="0" applyFont="1"/>
    <xf numFmtId="0" fontId="0" fillId="0" borderId="0" xfId="0" applyAlignment="1">
      <alignment horizontal="right"/>
    </xf>
    <xf numFmtId="0" fontId="0" fillId="0" borderId="0" xfId="0" applyBorder="1" applyAlignment="1">
      <alignment horizontal="center"/>
    </xf>
    <xf numFmtId="0" fontId="6" fillId="0" borderId="0" xfId="0" applyFont="1"/>
    <xf numFmtId="0" fontId="0" fillId="0" borderId="1" xfId="0" applyBorder="1"/>
    <xf numFmtId="0" fontId="7" fillId="0" borderId="0" xfId="0" applyFont="1"/>
    <xf numFmtId="0" fontId="0" fillId="0" borderId="0" xfId="0" applyBorder="1"/>
    <xf numFmtId="0" fontId="0" fillId="0" borderId="2" xfId="0" applyBorder="1"/>
    <xf numFmtId="0" fontId="0" fillId="0" borderId="3" xfId="0" applyBorder="1" applyAlignment="1">
      <alignment horizontal="right"/>
    </xf>
    <xf numFmtId="0" fontId="0" fillId="0" borderId="3" xfId="0" applyBorder="1" applyAlignment="1">
      <alignment horizontal="center"/>
    </xf>
    <xf numFmtId="0" fontId="0" fillId="0" borderId="4" xfId="0" applyBorder="1"/>
    <xf numFmtId="0" fontId="4" fillId="0" borderId="0" xfId="0" applyFont="1" applyBorder="1" applyAlignment="1">
      <alignment horizontal="center"/>
    </xf>
    <xf numFmtId="1" fontId="7" fillId="0" borderId="0" xfId="0" applyNumberFormat="1" applyFont="1"/>
    <xf numFmtId="0" fontId="8" fillId="0" borderId="0" xfId="0" applyFont="1"/>
    <xf numFmtId="0" fontId="9" fillId="0" borderId="2" xfId="0" applyFont="1" applyBorder="1"/>
    <xf numFmtId="0" fontId="0" fillId="0" borderId="0" xfId="0" applyNumberFormat="1" applyAlignment="1">
      <alignment horizontal="left" vertical="top" wrapText="1"/>
    </xf>
    <xf numFmtId="165" fontId="4" fillId="0" borderId="0" xfId="0" applyNumberFormat="1" applyFont="1" applyBorder="1" applyAlignment="1">
      <alignment horizontal="center"/>
    </xf>
    <xf numFmtId="0" fontId="6" fillId="0" borderId="5" xfId="0" applyFont="1" applyBorder="1"/>
    <xf numFmtId="0" fontId="6" fillId="0" borderId="3" xfId="0" applyFont="1" applyBorder="1" applyAlignment="1">
      <alignment horizontal="right"/>
    </xf>
    <xf numFmtId="0" fontId="6" fillId="0" borderId="0" xfId="0" applyFont="1" applyBorder="1"/>
    <xf numFmtId="0" fontId="19" fillId="0" borderId="0" xfId="0" applyFont="1" applyBorder="1" applyAlignment="1">
      <alignment horizontal="center"/>
    </xf>
    <xf numFmtId="0" fontId="6" fillId="0" borderId="2" xfId="0" applyFont="1" applyBorder="1"/>
    <xf numFmtId="0" fontId="10" fillId="0" borderId="0" xfId="0" applyFont="1" applyAlignment="1"/>
    <xf numFmtId="14" fontId="0" fillId="0" borderId="0" xfId="0" applyNumberFormat="1" applyAlignment="1"/>
    <xf numFmtId="0" fontId="20" fillId="0" borderId="0" xfId="0" applyFont="1"/>
    <xf numFmtId="0" fontId="6" fillId="0" borderId="3" xfId="0" applyFont="1" applyBorder="1"/>
    <xf numFmtId="14" fontId="19" fillId="0" borderId="0" xfId="0" applyNumberFormat="1" applyFont="1" applyAlignment="1">
      <alignment horizontal="left" vertical="top" wrapText="1"/>
    </xf>
    <xf numFmtId="0" fontId="2" fillId="0" borderId="3" xfId="0" applyFont="1" applyBorder="1" applyAlignment="1">
      <alignment horizontal="right"/>
    </xf>
    <xf numFmtId="0" fontId="0" fillId="0" borderId="3" xfId="0" applyFont="1" applyFill="1" applyBorder="1" applyAlignment="1">
      <alignment horizontal="right"/>
    </xf>
    <xf numFmtId="0" fontId="6" fillId="0" borderId="0" xfId="0" applyFont="1" applyFill="1" applyBorder="1"/>
    <xf numFmtId="0" fontId="12" fillId="0" borderId="0" xfId="0" applyFont="1"/>
    <xf numFmtId="0" fontId="13" fillId="0" borderId="0" xfId="0" applyFont="1"/>
    <xf numFmtId="0" fontId="14" fillId="0" borderId="0" xfId="0" applyFont="1"/>
    <xf numFmtId="0" fontId="6" fillId="0" borderId="6" xfId="0" applyFont="1" applyBorder="1" applyAlignment="1">
      <alignment horizontal="center"/>
    </xf>
    <xf numFmtId="0" fontId="6" fillId="0" borderId="7" xfId="0" applyFont="1" applyBorder="1"/>
    <xf numFmtId="0" fontId="6" fillId="2" borderId="8" xfId="0" applyFont="1" applyFill="1" applyBorder="1" applyAlignment="1">
      <alignment horizontal="center"/>
    </xf>
    <xf numFmtId="0" fontId="6" fillId="0" borderId="9" xfId="0" applyFont="1" applyFill="1" applyBorder="1"/>
    <xf numFmtId="2" fontId="0" fillId="0" borderId="10" xfId="0" applyNumberFormat="1" applyBorder="1" applyAlignment="1">
      <alignment horizontal="center"/>
    </xf>
    <xf numFmtId="2" fontId="0" fillId="0" borderId="11" xfId="0" applyNumberFormat="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4" xfId="0" applyFont="1" applyBorder="1"/>
    <xf numFmtId="0" fontId="6" fillId="2" borderId="15" xfId="0" applyFont="1" applyFill="1" applyBorder="1" applyAlignment="1">
      <alignment horizontal="center"/>
    </xf>
    <xf numFmtId="0" fontId="6" fillId="0" borderId="16" xfId="0" applyFont="1" applyFill="1" applyBorder="1"/>
    <xf numFmtId="2" fontId="2" fillId="0" borderId="17" xfId="0" applyNumberFormat="1" applyFont="1" applyBorder="1" applyAlignment="1">
      <alignment horizontal="center"/>
    </xf>
    <xf numFmtId="2" fontId="2" fillId="0" borderId="18" xfId="0" applyNumberFormat="1" applyFont="1" applyBorder="1" applyAlignment="1">
      <alignment horizontal="center"/>
    </xf>
    <xf numFmtId="0" fontId="0" fillId="0" borderId="7" xfId="0" applyBorder="1" applyAlignment="1">
      <alignment horizontal="right"/>
    </xf>
    <xf numFmtId="0" fontId="6" fillId="0" borderId="19" xfId="0" applyFont="1" applyBorder="1"/>
    <xf numFmtId="2" fontId="6" fillId="2" borderId="8" xfId="0" applyNumberFormat="1" applyFont="1" applyFill="1" applyBorder="1" applyAlignment="1">
      <alignment horizontal="center"/>
    </xf>
    <xf numFmtId="0" fontId="14" fillId="0" borderId="0" xfId="0" applyFont="1" applyBorder="1"/>
    <xf numFmtId="0" fontId="13" fillId="0" borderId="0" xfId="0" applyFont="1" applyBorder="1"/>
    <xf numFmtId="0" fontId="0" fillId="0" borderId="0" xfId="0" applyFont="1" applyFill="1" applyBorder="1" applyAlignment="1">
      <alignment horizontal="center"/>
    </xf>
    <xf numFmtId="165" fontId="14" fillId="0" borderId="0" xfId="0" applyNumberFormat="1" applyFont="1" applyBorder="1" applyAlignment="1">
      <alignment horizontal="center"/>
    </xf>
    <xf numFmtId="0" fontId="14" fillId="0" borderId="0"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2" fillId="0" borderId="0" xfId="0" applyFont="1" applyBorder="1"/>
    <xf numFmtId="0" fontId="6" fillId="2" borderId="11" xfId="0" applyFont="1" applyFill="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xf>
    <xf numFmtId="0" fontId="14" fillId="0" borderId="26" xfId="0" applyFont="1" applyBorder="1" applyAlignment="1">
      <alignment horizontal="center"/>
    </xf>
    <xf numFmtId="0" fontId="6" fillId="0" borderId="27" xfId="0" applyFont="1" applyBorder="1" applyAlignment="1">
      <alignment horizontal="center"/>
    </xf>
    <xf numFmtId="165" fontId="6" fillId="0" borderId="28" xfId="0" applyNumberFormat="1" applyFont="1" applyBorder="1" applyAlignment="1">
      <alignment horizontal="center"/>
    </xf>
    <xf numFmtId="0" fontId="14" fillId="0" borderId="4" xfId="0" applyFont="1" applyBorder="1"/>
    <xf numFmtId="0" fontId="6" fillId="2" borderId="10" xfId="0" applyFont="1" applyFill="1" applyBorder="1" applyAlignment="1">
      <alignment horizontal="center"/>
    </xf>
    <xf numFmtId="0" fontId="6" fillId="2" borderId="29" xfId="0" applyFont="1" applyFill="1" applyBorder="1" applyAlignment="1">
      <alignment horizontal="center"/>
    </xf>
    <xf numFmtId="0" fontId="6" fillId="0" borderId="30" xfId="0" applyFont="1" applyBorder="1"/>
    <xf numFmtId="0" fontId="6" fillId="0" borderId="6" xfId="0" applyFont="1" applyBorder="1"/>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165" fontId="6" fillId="0" borderId="34" xfId="0" applyNumberFormat="1" applyFont="1" applyBorder="1" applyAlignment="1">
      <alignment horizontal="center"/>
    </xf>
    <xf numFmtId="2" fontId="20" fillId="0" borderId="0" xfId="0" applyNumberFormat="1" applyFont="1"/>
    <xf numFmtId="0" fontId="6" fillId="2" borderId="35" xfId="0" applyFont="1" applyFill="1" applyBorder="1" applyAlignment="1">
      <alignment horizontal="center"/>
    </xf>
    <xf numFmtId="0" fontId="6" fillId="2" borderId="36" xfId="0" applyFont="1" applyFill="1" applyBorder="1" applyAlignment="1">
      <alignment horizontal="center"/>
    </xf>
    <xf numFmtId="0" fontId="6" fillId="2" borderId="37" xfId="0" applyFont="1" applyFill="1" applyBorder="1" applyAlignment="1">
      <alignment horizontal="center"/>
    </xf>
    <xf numFmtId="2" fontId="21" fillId="0" borderId="27" xfId="0" applyNumberFormat="1" applyFont="1" applyBorder="1" applyAlignment="1">
      <alignment horizontal="center"/>
    </xf>
    <xf numFmtId="2" fontId="21" fillId="0" borderId="20" xfId="0" applyNumberFormat="1" applyFont="1" applyBorder="1" applyAlignment="1">
      <alignment horizontal="center"/>
    </xf>
    <xf numFmtId="2" fontId="21" fillId="0" borderId="22" xfId="0" applyNumberFormat="1" applyFont="1" applyBorder="1" applyAlignment="1">
      <alignment horizontal="center"/>
    </xf>
    <xf numFmtId="2" fontId="21" fillId="0" borderId="38" xfId="0" applyNumberFormat="1" applyFont="1" applyBorder="1" applyAlignment="1">
      <alignment horizontal="center"/>
    </xf>
    <xf numFmtId="2" fontId="21" fillId="0" borderId="39" xfId="0" applyNumberFormat="1" applyFont="1" applyBorder="1" applyAlignment="1">
      <alignment horizontal="center"/>
    </xf>
    <xf numFmtId="2" fontId="21" fillId="0" borderId="40" xfId="0" applyNumberFormat="1" applyFont="1" applyBorder="1" applyAlignment="1">
      <alignment horizontal="center"/>
    </xf>
    <xf numFmtId="0" fontId="4" fillId="0" borderId="19" xfId="0" applyFont="1" applyBorder="1" applyAlignment="1">
      <alignment horizontal="center"/>
    </xf>
    <xf numFmtId="0" fontId="0" fillId="0" borderId="19" xfId="0" applyBorder="1"/>
    <xf numFmtId="165" fontId="4" fillId="0" borderId="19" xfId="0" applyNumberFormat="1" applyFont="1" applyFill="1" applyBorder="1" applyAlignment="1">
      <alignment horizontal="center"/>
    </xf>
    <xf numFmtId="0" fontId="9" fillId="0" borderId="41" xfId="0" applyFont="1" applyBorder="1"/>
    <xf numFmtId="0" fontId="19" fillId="0" borderId="1" xfId="0" applyFont="1" applyBorder="1" applyAlignment="1">
      <alignment horizontal="center"/>
    </xf>
    <xf numFmtId="0" fontId="6" fillId="0" borderId="1" xfId="0" applyFont="1" applyBorder="1"/>
    <xf numFmtId="0" fontId="2" fillId="0" borderId="5" xfId="0" applyFont="1" applyBorder="1" applyAlignment="1">
      <alignment horizontal="right"/>
    </xf>
    <xf numFmtId="0" fontId="3" fillId="0" borderId="0" xfId="0" applyFont="1"/>
    <xf numFmtId="0" fontId="13" fillId="0" borderId="0" xfId="0" applyNumberFormat="1" applyFont="1" applyAlignment="1">
      <alignment horizontal="left"/>
    </xf>
    <xf numFmtId="165" fontId="14" fillId="0" borderId="0" xfId="0" applyNumberFormat="1" applyFont="1" applyAlignment="1"/>
    <xf numFmtId="10" fontId="14" fillId="0" borderId="0" xfId="0" applyNumberFormat="1" applyFont="1" applyAlignment="1"/>
    <xf numFmtId="9" fontId="14" fillId="0" borderId="0" xfId="0" applyNumberFormat="1" applyFont="1" applyAlignment="1"/>
    <xf numFmtId="166" fontId="14" fillId="0" borderId="0" xfId="0" applyNumberFormat="1" applyFont="1" applyAlignment="1"/>
    <xf numFmtId="164" fontId="14" fillId="0" borderId="0" xfId="0" applyNumberFormat="1" applyFont="1" applyAlignment="1"/>
    <xf numFmtId="2" fontId="14" fillId="0" borderId="0" xfId="0" applyNumberFormat="1" applyFont="1" applyAlignment="1"/>
    <xf numFmtId="0" fontId="14" fillId="0" borderId="0" xfId="0" applyNumberFormat="1" applyFont="1" applyAlignment="1"/>
    <xf numFmtId="0" fontId="17" fillId="0" borderId="0" xfId="0" applyNumberFormat="1" applyFont="1" applyAlignment="1"/>
    <xf numFmtId="0" fontId="18" fillId="0" borderId="0" xfId="0" applyNumberFormat="1" applyFont="1" applyAlignment="1"/>
    <xf numFmtId="0" fontId="6" fillId="0" borderId="0"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167" fontId="6" fillId="0" borderId="0" xfId="0" applyNumberFormat="1" applyFont="1" applyBorder="1" applyAlignment="1">
      <alignment horizontal="center" vertical="center" wrapText="1"/>
    </xf>
    <xf numFmtId="165" fontId="6"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9" fontId="6" fillId="0" borderId="0" xfId="0" applyNumberFormat="1" applyFont="1" applyBorder="1" applyAlignment="1">
      <alignment horizontal="center" vertical="center" wrapText="1"/>
    </xf>
    <xf numFmtId="2" fontId="6" fillId="0" borderId="0" xfId="0" applyNumberFormat="1" applyFont="1" applyFill="1" applyBorder="1" applyAlignment="1">
      <alignment horizontal="center"/>
    </xf>
    <xf numFmtId="10" fontId="6" fillId="0" borderId="42" xfId="0" applyNumberFormat="1" applyFont="1" applyBorder="1" applyAlignment="1">
      <alignment horizontal="center" vertical="center" wrapText="1"/>
    </xf>
    <xf numFmtId="10" fontId="6" fillId="0" borderId="43" xfId="0" applyNumberFormat="1" applyFont="1" applyBorder="1" applyAlignment="1">
      <alignment horizontal="center" vertical="center" wrapText="1"/>
    </xf>
    <xf numFmtId="167" fontId="20" fillId="0" borderId="44" xfId="0" applyNumberFormat="1" applyFont="1" applyBorder="1" applyAlignment="1">
      <alignment horizontal="center" vertical="center" wrapText="1"/>
    </xf>
    <xf numFmtId="0" fontId="6" fillId="0" borderId="45" xfId="0" applyNumberFormat="1" applyFont="1" applyBorder="1" applyAlignment="1">
      <alignment horizontal="center" vertical="center" wrapText="1"/>
    </xf>
    <xf numFmtId="0" fontId="6" fillId="0" borderId="46" xfId="0" applyNumberFormat="1" applyFont="1" applyBorder="1" applyAlignment="1">
      <alignment horizontal="center" vertical="center" wrapText="1"/>
    </xf>
    <xf numFmtId="165" fontId="6" fillId="0" borderId="47" xfId="0" applyNumberFormat="1" applyFont="1" applyBorder="1" applyAlignment="1">
      <alignment horizontal="center" vertical="center" wrapText="1"/>
    </xf>
    <xf numFmtId="9" fontId="6" fillId="0" borderId="48" xfId="0" applyNumberFormat="1" applyFont="1" applyBorder="1" applyAlignment="1">
      <alignment horizontal="center" vertical="center" wrapText="1"/>
    </xf>
    <xf numFmtId="165" fontId="6" fillId="0" borderId="49" xfId="0" applyNumberFormat="1" applyFont="1" applyBorder="1" applyAlignment="1">
      <alignment horizontal="center" vertical="center" wrapText="1"/>
    </xf>
    <xf numFmtId="9" fontId="6" fillId="0" borderId="50" xfId="0" applyNumberFormat="1" applyFont="1" applyBorder="1" applyAlignment="1">
      <alignment horizontal="center" vertical="center" wrapText="1"/>
    </xf>
    <xf numFmtId="2" fontId="20" fillId="0" borderId="51" xfId="0" applyNumberFormat="1" applyFont="1" applyBorder="1" applyAlignment="1">
      <alignment horizontal="center" vertical="center" wrapText="1"/>
    </xf>
    <xf numFmtId="165" fontId="0" fillId="0" borderId="11" xfId="0" applyNumberFormat="1" applyBorder="1" applyAlignment="1">
      <alignment horizontal="center"/>
    </xf>
    <xf numFmtId="165" fontId="2" fillId="0" borderId="18" xfId="0" applyNumberFormat="1" applyFont="1" applyBorder="1" applyAlignment="1">
      <alignment horizontal="center"/>
    </xf>
    <xf numFmtId="2" fontId="6" fillId="2" borderId="52" xfId="0" applyNumberFormat="1" applyFont="1" applyFill="1" applyBorder="1" applyAlignment="1">
      <alignment horizontal="center"/>
    </xf>
    <xf numFmtId="2" fontId="6" fillId="2" borderId="53" xfId="0" applyNumberFormat="1" applyFont="1" applyFill="1" applyBorder="1" applyAlignment="1">
      <alignment horizontal="center"/>
    </xf>
    <xf numFmtId="2" fontId="0" fillId="0" borderId="29" xfId="0" applyNumberFormat="1" applyBorder="1" applyAlignment="1">
      <alignment horizontal="center"/>
    </xf>
    <xf numFmtId="2" fontId="2" fillId="0" borderId="54" xfId="0" applyNumberFormat="1" applyFont="1" applyBorder="1" applyAlignment="1">
      <alignment horizontal="center"/>
    </xf>
    <xf numFmtId="2" fontId="22" fillId="0" borderId="55" xfId="0" applyNumberFormat="1" applyFont="1" applyBorder="1" applyAlignment="1">
      <alignment horizontal="center" vertical="center" wrapText="1"/>
    </xf>
    <xf numFmtId="0" fontId="6" fillId="3" borderId="56" xfId="0" applyNumberFormat="1" applyFont="1" applyFill="1" applyBorder="1" applyAlignment="1">
      <alignment horizontal="center" vertical="center" wrapText="1"/>
    </xf>
    <xf numFmtId="3"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9" fontId="4" fillId="0" borderId="0" xfId="1" applyFont="1" applyFill="1" applyBorder="1" applyAlignment="1">
      <alignment horizontal="center"/>
    </xf>
    <xf numFmtId="0" fontId="4" fillId="0" borderId="0" xfId="0" applyFont="1" applyFill="1" applyBorder="1" applyAlignment="1">
      <alignment horizontal="center"/>
    </xf>
    <xf numFmtId="0" fontId="0" fillId="0" borderId="0" xfId="0" applyAlignment="1">
      <alignment horizontal="left" vertical="top" wrapText="1"/>
    </xf>
    <xf numFmtId="0" fontId="6" fillId="0" borderId="0" xfId="0" applyNumberFormat="1" applyFont="1" applyAlignment="1">
      <alignment horizontal="left" vertical="top" wrapText="1"/>
    </xf>
    <xf numFmtId="0" fontId="0" fillId="0" borderId="0" xfId="0" applyNumberFormat="1" applyAlignment="1">
      <alignment horizontal="left" vertical="top" wrapText="1"/>
    </xf>
    <xf numFmtId="0" fontId="10" fillId="0" borderId="0" xfId="0" applyFont="1" applyAlignment="1">
      <alignment horizontal="center"/>
    </xf>
    <xf numFmtId="0" fontId="19" fillId="0" borderId="0" xfId="0" applyFont="1" applyAlignment="1">
      <alignment horizontal="left" vertical="top" wrapText="1"/>
    </xf>
    <xf numFmtId="14" fontId="0" fillId="0" borderId="0" xfId="0" applyNumberFormat="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M30"/>
  <sheetViews>
    <sheetView workbookViewId="0">
      <selection activeCell="A3" sqref="A3:L3"/>
    </sheetView>
  </sheetViews>
  <sheetFormatPr defaultColWidth="8.85546875" defaultRowHeight="12.75"/>
  <cols>
    <col min="1" max="1" width="2.7109375" customWidth="1"/>
    <col min="2" max="2" width="11.42578125" customWidth="1"/>
    <col min="3" max="3" width="35.28515625" customWidth="1"/>
    <col min="4" max="4" width="12.140625" bestFit="1" customWidth="1"/>
    <col min="5" max="5" width="12.140625" customWidth="1"/>
    <col min="6" max="6" width="12.140625" bestFit="1" customWidth="1"/>
    <col min="7" max="7" width="13.140625" customWidth="1"/>
  </cols>
  <sheetData>
    <row r="1" spans="1:13" ht="20.25">
      <c r="A1" s="138" t="s">
        <v>82</v>
      </c>
      <c r="B1" s="138"/>
      <c r="C1" s="138"/>
      <c r="D1" s="138"/>
      <c r="E1" s="138"/>
      <c r="F1" s="138"/>
      <c r="G1" s="138"/>
      <c r="H1" s="138"/>
      <c r="I1" s="138"/>
      <c r="J1" s="138"/>
      <c r="K1" s="138"/>
      <c r="L1" s="138"/>
    </row>
    <row r="2" spans="1:13">
      <c r="A2" s="140">
        <v>42086</v>
      </c>
      <c r="B2" s="140"/>
      <c r="C2" s="140"/>
      <c r="D2" s="140"/>
      <c r="E2" s="140"/>
      <c r="F2" s="140"/>
      <c r="G2" s="140"/>
      <c r="H2" s="140"/>
      <c r="I2" s="140"/>
      <c r="J2" s="140"/>
      <c r="K2" s="140"/>
      <c r="L2" s="140"/>
      <c r="M2" s="140"/>
    </row>
    <row r="3" spans="1:13" ht="37.5" customHeight="1">
      <c r="A3" s="139" t="s">
        <v>18</v>
      </c>
      <c r="B3" s="139"/>
      <c r="C3" s="139"/>
      <c r="D3" s="139"/>
      <c r="E3" s="139"/>
      <c r="F3" s="139"/>
      <c r="G3" s="139"/>
      <c r="H3" s="139"/>
      <c r="I3" s="139"/>
      <c r="J3" s="139"/>
      <c r="K3" s="139"/>
      <c r="L3" s="139"/>
    </row>
    <row r="5" spans="1:13">
      <c r="B5" s="3" t="s">
        <v>15</v>
      </c>
      <c r="C5" s="135" t="s">
        <v>63</v>
      </c>
      <c r="D5" s="135"/>
      <c r="E5" s="135"/>
      <c r="F5" s="135"/>
      <c r="G5" s="135"/>
      <c r="H5" s="135"/>
      <c r="I5" s="135"/>
      <c r="J5" s="135"/>
      <c r="K5" s="135"/>
      <c r="L5" s="135"/>
    </row>
    <row r="6" spans="1:13">
      <c r="C6" s="135"/>
      <c r="D6" s="135"/>
      <c r="E6" s="135"/>
      <c r="F6" s="135"/>
      <c r="G6" s="135"/>
      <c r="H6" s="135"/>
      <c r="I6" s="135"/>
      <c r="J6" s="135"/>
      <c r="K6" s="135"/>
      <c r="L6" s="135"/>
    </row>
    <row r="8" spans="1:13" ht="12.75" customHeight="1">
      <c r="C8" s="136" t="s">
        <v>64</v>
      </c>
      <c r="D8" s="137"/>
      <c r="E8" s="137"/>
      <c r="F8" s="137"/>
      <c r="G8" s="137"/>
      <c r="H8" s="137"/>
      <c r="I8" s="137"/>
      <c r="J8" s="137"/>
      <c r="K8" s="137"/>
      <c r="L8" s="137"/>
    </row>
    <row r="9" spans="1:13">
      <c r="C9" s="137"/>
      <c r="D9" s="137"/>
      <c r="E9" s="137"/>
      <c r="F9" s="137"/>
      <c r="G9" s="137"/>
      <c r="H9" s="137"/>
      <c r="I9" s="137"/>
      <c r="J9" s="137"/>
      <c r="K9" s="137"/>
      <c r="L9" s="137"/>
    </row>
    <row r="10" spans="1:13" ht="12" customHeight="1">
      <c r="C10" s="137"/>
      <c r="D10" s="137"/>
      <c r="E10" s="137"/>
      <c r="F10" s="137"/>
      <c r="G10" s="137"/>
      <c r="H10" s="137"/>
      <c r="I10" s="137"/>
      <c r="J10" s="137"/>
      <c r="K10" s="137"/>
      <c r="L10" s="137"/>
    </row>
    <row r="11" spans="1:13" hidden="1">
      <c r="C11" s="137"/>
      <c r="D11" s="137"/>
      <c r="E11" s="137"/>
      <c r="F11" s="137"/>
      <c r="G11" s="137"/>
      <c r="H11" s="137"/>
      <c r="I11" s="137"/>
      <c r="J11" s="137"/>
      <c r="K11" s="137"/>
      <c r="L11" s="137"/>
    </row>
    <row r="12" spans="1:13" hidden="1">
      <c r="C12" s="137"/>
      <c r="D12" s="137"/>
      <c r="E12" s="137"/>
      <c r="F12" s="137"/>
      <c r="G12" s="137"/>
      <c r="H12" s="137"/>
      <c r="I12" s="137"/>
      <c r="J12" s="137"/>
      <c r="K12" s="137"/>
      <c r="L12" s="137"/>
    </row>
    <row r="13" spans="1:13">
      <c r="D13" s="17"/>
      <c r="E13" s="17"/>
      <c r="F13" s="17"/>
      <c r="G13" s="17"/>
      <c r="H13" s="17"/>
      <c r="I13" s="17"/>
      <c r="J13" s="17"/>
      <c r="K13" s="17"/>
      <c r="L13" s="17"/>
      <c r="M13" s="17"/>
    </row>
    <row r="14" spans="1:13" ht="13.5" thickBot="1">
      <c r="C14" s="1" t="s">
        <v>10</v>
      </c>
    </row>
    <row r="15" spans="1:13" ht="13.5" thickTop="1">
      <c r="C15" s="94"/>
      <c r="D15" s="92"/>
      <c r="E15" s="93"/>
      <c r="F15" s="6"/>
      <c r="G15" s="12"/>
    </row>
    <row r="16" spans="1:13">
      <c r="C16" s="29" t="s">
        <v>70</v>
      </c>
      <c r="D16" s="22"/>
      <c r="E16" s="21"/>
      <c r="F16" s="8"/>
      <c r="G16" s="9"/>
    </row>
    <row r="17" spans="2:12">
      <c r="C17" s="20" t="s">
        <v>71</v>
      </c>
      <c r="D17" s="131">
        <v>2</v>
      </c>
      <c r="E17" s="21" t="s">
        <v>73</v>
      </c>
      <c r="F17" s="8"/>
      <c r="G17" s="9"/>
      <c r="H17" s="5"/>
    </row>
    <row r="18" spans="2:12">
      <c r="C18" s="20" t="s">
        <v>69</v>
      </c>
      <c r="D18" s="131">
        <v>3</v>
      </c>
      <c r="E18" s="21" t="s">
        <v>72</v>
      </c>
      <c r="F18" s="8"/>
      <c r="G18" s="9"/>
      <c r="H18" s="5" t="s">
        <v>78</v>
      </c>
    </row>
    <row r="19" spans="2:12">
      <c r="C19" s="20" t="s">
        <v>49</v>
      </c>
      <c r="D19" s="132">
        <v>8.34</v>
      </c>
      <c r="E19" s="31" t="s">
        <v>48</v>
      </c>
      <c r="F19" s="5" t="s">
        <v>50</v>
      </c>
      <c r="G19" s="9"/>
      <c r="H19" s="31" t="s">
        <v>79</v>
      </c>
    </row>
    <row r="20" spans="2:12">
      <c r="C20" s="20" t="s">
        <v>54</v>
      </c>
      <c r="D20" s="133">
        <v>1</v>
      </c>
      <c r="E20" s="31" t="s">
        <v>62</v>
      </c>
      <c r="F20" s="21" t="s">
        <v>51</v>
      </c>
      <c r="G20" s="9"/>
      <c r="H20" s="31" t="s">
        <v>79</v>
      </c>
    </row>
    <row r="21" spans="2:12">
      <c r="C21" s="10"/>
      <c r="D21" s="13"/>
      <c r="E21" s="8"/>
      <c r="F21" s="8"/>
      <c r="G21" s="9"/>
    </row>
    <row r="22" spans="2:12">
      <c r="C22" s="29" t="s">
        <v>61</v>
      </c>
      <c r="D22" s="134">
        <v>30</v>
      </c>
      <c r="E22" s="21" t="s">
        <v>19</v>
      </c>
      <c r="F22" s="8"/>
      <c r="G22" s="9"/>
      <c r="H22" s="5" t="s">
        <v>26</v>
      </c>
    </row>
    <row r="23" spans="2:12">
      <c r="C23" s="11" t="s">
        <v>11</v>
      </c>
      <c r="D23" s="134"/>
      <c r="E23" s="8"/>
      <c r="F23" s="8"/>
      <c r="G23" s="9"/>
      <c r="H23" s="5" t="s">
        <v>26</v>
      </c>
    </row>
    <row r="24" spans="2:12">
      <c r="C24" s="10" t="s">
        <v>13</v>
      </c>
      <c r="D24" s="134" t="s">
        <v>9</v>
      </c>
      <c r="E24" s="8" t="s">
        <v>12</v>
      </c>
      <c r="F24" s="4" t="s">
        <v>16</v>
      </c>
      <c r="G24" s="16" t="str">
        <f>IF(OR(D24="Y",D24="N"),"","ERROR!")</f>
        <v/>
      </c>
    </row>
    <row r="25" spans="2:12">
      <c r="C25" s="30" t="s">
        <v>25</v>
      </c>
      <c r="D25" s="134" t="s">
        <v>9</v>
      </c>
      <c r="E25" s="8" t="s">
        <v>12</v>
      </c>
      <c r="F25" s="18">
        <v>15</v>
      </c>
      <c r="G25" s="23" t="s">
        <v>32</v>
      </c>
    </row>
    <row r="26" spans="2:12">
      <c r="C26" s="20" t="s">
        <v>83</v>
      </c>
      <c r="D26" s="134" t="s">
        <v>76</v>
      </c>
      <c r="E26" s="8" t="s">
        <v>12</v>
      </c>
      <c r="F26" s="18">
        <v>15</v>
      </c>
      <c r="G26" s="23" t="s">
        <v>32</v>
      </c>
    </row>
    <row r="27" spans="2:12" ht="13.5" thickBot="1">
      <c r="C27" s="48"/>
      <c r="D27" s="88"/>
      <c r="E27" s="89"/>
      <c r="F27" s="90"/>
      <c r="G27" s="91"/>
    </row>
    <row r="28" spans="2:12" ht="13.5" thickTop="1">
      <c r="B28" s="8"/>
      <c r="C28" s="8"/>
      <c r="D28" s="8"/>
      <c r="L28" t="str">
        <f>I28&amp;" "&amp;E28</f>
        <v xml:space="preserve"> </v>
      </c>
    </row>
    <row r="29" spans="2:12">
      <c r="B29" s="8"/>
      <c r="C29" s="8"/>
      <c r="D29" s="8"/>
      <c r="L29" t="str">
        <f>I29&amp;" "&amp;E29</f>
        <v xml:space="preserve"> </v>
      </c>
    </row>
    <row r="30" spans="2:12">
      <c r="B30" s="8"/>
      <c r="C30" s="8"/>
      <c r="D30" s="8"/>
    </row>
  </sheetData>
  <mergeCells count="5">
    <mergeCell ref="C5:L6"/>
    <mergeCell ref="C8:L12"/>
    <mergeCell ref="A1:L1"/>
    <mergeCell ref="A3:L3"/>
    <mergeCell ref="A2:M2"/>
  </mergeCells>
  <phoneticPr fontId="3" type="noConversion"/>
  <pageMargins left="0.75" right="0.75" top="1" bottom="1" header="0.5" footer="0.5"/>
  <pageSetup scale="74" orientation="landscape"/>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M11"/>
  <sheetViews>
    <sheetView workbookViewId="0">
      <selection activeCell="A3" sqref="A3"/>
    </sheetView>
  </sheetViews>
  <sheetFormatPr defaultColWidth="8.85546875" defaultRowHeight="12.75"/>
  <cols>
    <col min="1" max="1" width="24.42578125" customWidth="1"/>
    <col min="2" max="2" width="12.42578125" customWidth="1"/>
    <col min="3" max="3" width="12.7109375" customWidth="1"/>
    <col min="4" max="4" width="11.42578125" customWidth="1"/>
    <col min="5" max="5" width="12" customWidth="1"/>
    <col min="6" max="6" width="12.140625" customWidth="1"/>
    <col min="7" max="7" width="11" customWidth="1"/>
    <col min="8" max="8" width="13" customWidth="1"/>
    <col min="9" max="9" width="16.42578125" customWidth="1"/>
    <col min="10" max="10" width="12.7109375" customWidth="1"/>
    <col min="11" max="13" width="9.28515625" customWidth="1"/>
  </cols>
  <sheetData>
    <row r="1" spans="1:13" ht="20.25">
      <c r="A1" s="138" t="s">
        <v>82</v>
      </c>
      <c r="B1" s="138"/>
      <c r="C1" s="138"/>
      <c r="D1" s="138"/>
      <c r="E1" s="138"/>
      <c r="F1" s="138"/>
      <c r="G1" s="138"/>
      <c r="H1" s="138"/>
      <c r="I1" s="138"/>
      <c r="J1" s="24"/>
      <c r="K1" s="24"/>
      <c r="L1" s="24"/>
    </row>
    <row r="2" spans="1:13">
      <c r="A2" s="140">
        <v>42086</v>
      </c>
      <c r="B2" s="140"/>
      <c r="C2" s="140"/>
      <c r="D2" s="140"/>
      <c r="E2" s="140"/>
      <c r="F2" s="140"/>
      <c r="G2" s="140"/>
      <c r="H2" s="140"/>
      <c r="I2" s="140"/>
      <c r="J2" s="140"/>
      <c r="K2" s="140"/>
      <c r="L2" s="140"/>
      <c r="M2" s="140"/>
    </row>
    <row r="3" spans="1:13" ht="17.25" customHeight="1">
      <c r="A3" s="28"/>
      <c r="B3" s="28"/>
      <c r="C3" s="28"/>
      <c r="D3" s="28"/>
      <c r="E3" s="28"/>
      <c r="F3" s="28"/>
      <c r="G3" s="28"/>
      <c r="H3" s="28"/>
      <c r="I3" s="28"/>
      <c r="J3" s="25"/>
      <c r="K3" s="25"/>
      <c r="L3" s="25"/>
    </row>
    <row r="5" spans="1:13">
      <c r="A5" s="15" t="s">
        <v>60</v>
      </c>
    </row>
    <row r="6" spans="1:13" ht="13.5" thickBot="1">
      <c r="A6" s="15"/>
    </row>
    <row r="7" spans="1:13" ht="17.25" thickTop="1" thickBot="1">
      <c r="A7" s="19" t="s">
        <v>84</v>
      </c>
      <c r="B7" s="41" t="s">
        <v>0</v>
      </c>
      <c r="C7" s="42" t="s">
        <v>22</v>
      </c>
      <c r="D7" s="42" t="s">
        <v>21</v>
      </c>
      <c r="E7" s="42" t="s">
        <v>23</v>
      </c>
      <c r="F7" s="42" t="s">
        <v>24</v>
      </c>
      <c r="G7" s="42" t="s">
        <v>1</v>
      </c>
      <c r="H7" s="125" t="s">
        <v>4</v>
      </c>
    </row>
    <row r="8" spans="1:13">
      <c r="A8" s="43" t="s">
        <v>66</v>
      </c>
      <c r="B8" s="44" t="s">
        <v>31</v>
      </c>
      <c r="C8" s="37" t="s">
        <v>31</v>
      </c>
      <c r="D8" s="50" t="s">
        <v>31</v>
      </c>
      <c r="E8" s="37" t="s">
        <v>31</v>
      </c>
      <c r="F8" s="37" t="s">
        <v>31</v>
      </c>
      <c r="G8" s="37" t="s">
        <v>31</v>
      </c>
      <c r="H8" s="126">
        <f>'Dry Cleaner'!F11</f>
        <v>219.17519999999999</v>
      </c>
    </row>
    <row r="9" spans="1:13" ht="13.5" thickBot="1">
      <c r="A9" s="38" t="s">
        <v>56</v>
      </c>
      <c r="B9" s="39">
        <f>Boiler!E9</f>
        <v>0.28721311475409839</v>
      </c>
      <c r="C9" s="40">
        <f>Boiler!F9</f>
        <v>1.0052459016393442</v>
      </c>
      <c r="D9" s="40">
        <f>Boiler!G9</f>
        <v>1.0052459016393442</v>
      </c>
      <c r="E9" s="40">
        <f>Boiler!H9</f>
        <v>2.1540983606557376</v>
      </c>
      <c r="F9" s="123">
        <f>Boiler!I9</f>
        <v>18.668852459016392</v>
      </c>
      <c r="G9" s="123">
        <f>Boiler!J9</f>
        <v>10.821176470588236</v>
      </c>
      <c r="H9" s="127">
        <f>Boiler!K9</f>
        <v>1.4360655737704917</v>
      </c>
    </row>
    <row r="10" spans="1:13" ht="14.25" thickTop="1" thickBot="1">
      <c r="A10" s="45" t="s">
        <v>30</v>
      </c>
      <c r="B10" s="46">
        <f t="shared" ref="B10:H10" si="0">SUM(B8:B9)</f>
        <v>0.28721311475409839</v>
      </c>
      <c r="C10" s="47">
        <f t="shared" si="0"/>
        <v>1.0052459016393442</v>
      </c>
      <c r="D10" s="47">
        <f t="shared" si="0"/>
        <v>1.0052459016393442</v>
      </c>
      <c r="E10" s="47">
        <f t="shared" si="0"/>
        <v>2.1540983606557376</v>
      </c>
      <c r="F10" s="124">
        <f t="shared" si="0"/>
        <v>18.668852459016392</v>
      </c>
      <c r="G10" s="124">
        <f t="shared" si="0"/>
        <v>10.821176470588236</v>
      </c>
      <c r="H10" s="128">
        <f t="shared" si="0"/>
        <v>220.61126557377048</v>
      </c>
    </row>
    <row r="11" spans="1:13" ht="13.5" thickTop="1"/>
  </sheetData>
  <mergeCells count="2">
    <mergeCell ref="A1:I1"/>
    <mergeCell ref="A2:M2"/>
  </mergeCells>
  <phoneticPr fontId="3" type="noConversion"/>
  <pageMargins left="0.75" right="0.75" top="1" bottom="1" header="0.5" footer="0.5"/>
  <pageSetup scale="96" orientation="landscape"/>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pageSetUpPr fitToPage="1"/>
  </sheetPr>
  <dimension ref="A1:Q16"/>
  <sheetViews>
    <sheetView workbookViewId="0">
      <selection activeCell="A3" sqref="A3"/>
    </sheetView>
  </sheetViews>
  <sheetFormatPr defaultColWidth="8.85546875" defaultRowHeight="12.75"/>
  <cols>
    <col min="1" max="1" width="26.140625" customWidth="1"/>
    <col min="2" max="2" width="12.85546875" customWidth="1"/>
    <col min="3" max="3" width="14.42578125" customWidth="1"/>
    <col min="4" max="4" width="16.42578125" customWidth="1"/>
    <col min="5" max="5" width="15.7109375" customWidth="1"/>
    <col min="6" max="6" width="16.7109375" customWidth="1"/>
    <col min="7" max="7" width="14.42578125" customWidth="1"/>
    <col min="8" max="8" width="14.85546875" customWidth="1"/>
    <col min="9" max="9" width="9.28515625" bestFit="1" customWidth="1"/>
    <col min="11" max="11" width="14.42578125" customWidth="1"/>
    <col min="12" max="13" width="9.28515625" bestFit="1" customWidth="1"/>
    <col min="15" max="15" width="14.42578125" customWidth="1"/>
    <col min="16" max="16" width="9.28515625" bestFit="1" customWidth="1"/>
    <col min="19" max="19" width="14.7109375" bestFit="1" customWidth="1"/>
    <col min="23" max="23" width="14.7109375" bestFit="1" customWidth="1"/>
  </cols>
  <sheetData>
    <row r="1" spans="1:17" ht="20.25">
      <c r="A1" s="138" t="s">
        <v>82</v>
      </c>
      <c r="B1" s="138"/>
      <c r="C1" s="138"/>
      <c r="D1" s="138"/>
      <c r="E1" s="138"/>
      <c r="F1" s="138"/>
      <c r="G1" s="138"/>
      <c r="H1" s="138"/>
      <c r="I1" s="138"/>
      <c r="J1" s="138"/>
      <c r="K1" s="138"/>
      <c r="L1" s="24"/>
      <c r="M1" s="24"/>
      <c r="N1" s="24"/>
      <c r="O1" s="24"/>
    </row>
    <row r="2" spans="1:17">
      <c r="A2" s="140">
        <v>42086</v>
      </c>
      <c r="B2" s="140"/>
      <c r="C2" s="140"/>
      <c r="D2" s="140"/>
      <c r="E2" s="140"/>
      <c r="F2" s="140"/>
      <c r="G2" s="140"/>
      <c r="H2" s="140"/>
      <c r="I2" s="140"/>
      <c r="J2" s="140"/>
      <c r="K2" s="140"/>
      <c r="L2" s="140"/>
      <c r="M2" s="140"/>
      <c r="N2" s="25"/>
      <c r="O2" s="25"/>
    </row>
    <row r="4" spans="1:17" ht="15.75">
      <c r="B4" s="32" t="s">
        <v>67</v>
      </c>
    </row>
    <row r="5" spans="1:17">
      <c r="A5" s="5" t="s">
        <v>26</v>
      </c>
      <c r="B5" s="14" t="s">
        <v>26</v>
      </c>
      <c r="C5" s="5" t="s">
        <v>26</v>
      </c>
      <c r="E5" s="7" t="s">
        <v>8</v>
      </c>
    </row>
    <row r="6" spans="1:17">
      <c r="A6" s="5" t="s">
        <v>26</v>
      </c>
      <c r="B6" s="26" t="s">
        <v>26</v>
      </c>
      <c r="E6" s="2" t="s">
        <v>6</v>
      </c>
    </row>
    <row r="7" spans="1:17">
      <c r="A7" s="5"/>
    </row>
    <row r="8" spans="1:17" ht="13.5" thickBot="1"/>
    <row r="9" spans="1:17" s="105" customFormat="1" ht="26.25" thickTop="1">
      <c r="A9" s="116" t="s">
        <v>85</v>
      </c>
      <c r="B9" s="118" t="s">
        <v>74</v>
      </c>
      <c r="C9" s="118" t="s">
        <v>75</v>
      </c>
      <c r="D9" s="118" t="s">
        <v>55</v>
      </c>
      <c r="E9" s="113" t="s">
        <v>53</v>
      </c>
      <c r="F9" s="119" t="s">
        <v>68</v>
      </c>
    </row>
    <row r="10" spans="1:17" s="105" customFormat="1" ht="13.5" thickBot="1">
      <c r="A10" s="117"/>
      <c r="B10" s="120" t="s">
        <v>81</v>
      </c>
      <c r="C10" s="120" t="s">
        <v>77</v>
      </c>
      <c r="D10" s="120" t="s">
        <v>48</v>
      </c>
      <c r="E10" s="114" t="s">
        <v>14</v>
      </c>
      <c r="F10" s="121" t="s">
        <v>3</v>
      </c>
    </row>
    <row r="11" spans="1:17" s="105" customFormat="1" ht="27.75" customHeight="1" thickBot="1">
      <c r="A11" s="130"/>
      <c r="B11" s="122">
        <f>Inputs!D17</f>
        <v>2</v>
      </c>
      <c r="C11" s="122">
        <f>Inputs!D18</f>
        <v>3</v>
      </c>
      <c r="D11" s="122">
        <f>Inputs!D19</f>
        <v>8.34</v>
      </c>
      <c r="E11" s="115">
        <f>Inputs!D20</f>
        <v>1</v>
      </c>
      <c r="F11" s="129">
        <f>B11*C11*8760*D11*E11/2000</f>
        <v>219.17519999999999</v>
      </c>
    </row>
    <row r="12" spans="1:17" s="105" customFormat="1" ht="13.5" thickTop="1">
      <c r="A12" s="106"/>
      <c r="B12" s="107"/>
      <c r="C12" s="108"/>
      <c r="D12" s="108"/>
      <c r="E12" s="108"/>
      <c r="F12" s="107"/>
      <c r="G12" s="107"/>
      <c r="H12" s="107"/>
      <c r="I12" s="109"/>
      <c r="J12" s="110"/>
      <c r="K12" s="110"/>
      <c r="L12" s="109"/>
      <c r="M12" s="109"/>
      <c r="N12" s="111"/>
      <c r="O12" s="111"/>
      <c r="P12" s="112"/>
      <c r="Q12" s="109"/>
    </row>
    <row r="13" spans="1:17" s="95" customFormat="1" ht="14.25" customHeight="1"/>
    <row r="14" spans="1:17" s="104" customFormat="1" ht="12" hidden="1">
      <c r="A14" s="96" t="s">
        <v>52</v>
      </c>
      <c r="B14" s="97"/>
      <c r="C14" s="98"/>
      <c r="D14" s="99"/>
      <c r="E14" s="99"/>
      <c r="F14" s="99"/>
      <c r="G14" s="98"/>
      <c r="H14" s="100"/>
      <c r="I14" s="101"/>
      <c r="J14" s="102"/>
      <c r="K14" s="102"/>
      <c r="L14" s="102"/>
      <c r="M14" s="102"/>
      <c r="N14" s="102"/>
      <c r="O14" s="102"/>
      <c r="P14" s="102"/>
      <c r="Q14" s="103"/>
    </row>
    <row r="15" spans="1:17">
      <c r="A15" s="33" t="s">
        <v>27</v>
      </c>
    </row>
    <row r="16" spans="1:17">
      <c r="A16" s="5" t="s">
        <v>80</v>
      </c>
    </row>
  </sheetData>
  <mergeCells count="2">
    <mergeCell ref="A1:K1"/>
    <mergeCell ref="A2:M2"/>
  </mergeCells>
  <phoneticPr fontId="3" type="noConversion"/>
  <pageMargins left="0.75" right="0.75" top="1" bottom="1" header="0.5" footer="0.5"/>
  <pageSetup scale="74" orientation="landscape"/>
  <headerFooter alignWithMargins="0">
    <oddFooter>Page &amp;P of &amp;N</oddFooter>
  </headerFooter>
  <colBreaks count="1" manualBreakCount="1">
    <brk id="11" max="1048575" man="1"/>
  </colBreaks>
  <customProperties>
    <customPr name="DVSECTION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85546875" defaultRowHeight="12.75"/>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f>IF(Inputs!11:11,"AAAAAH3zvYw=",0)</f>
        <v>0</v>
      </c>
      <c r="EL1" t="e">
        <f>AND(Inputs!A11,"AAAAAH3zvY0=")</f>
        <v>#VALUE!</v>
      </c>
      <c r="EM1" t="e">
        <f>AND(Inputs!B11,"AAAAAH3zvY4=")</f>
        <v>#VALUE!</v>
      </c>
      <c r="EN1" t="e">
        <f>AND(Inputs!C11,"AAAAAH3zvY8=")</f>
        <v>#VALUE!</v>
      </c>
      <c r="EO1" t="e">
        <f>AND(Inputs!D11,"AAAAAH3zvZA=")</f>
        <v>#VALUE!</v>
      </c>
      <c r="EP1" t="e">
        <f>AND(Inputs!E11,"AAAAAH3zvZE=")</f>
        <v>#VALUE!</v>
      </c>
      <c r="EQ1" t="e">
        <f>AND(Inputs!F11,"AAAAAH3zvZI=")</f>
        <v>#VALUE!</v>
      </c>
      <c r="ER1" t="e">
        <f>AND(Inputs!G11,"AAAAAH3zvZM=")</f>
        <v>#VALUE!</v>
      </c>
      <c r="ES1" t="e">
        <f>AND(Inputs!H11,"AAAAAH3zvZQ=")</f>
        <v>#VALUE!</v>
      </c>
      <c r="ET1" t="e">
        <f>AND(Inputs!I11,"AAAAAH3zvZU=")</f>
        <v>#VALUE!</v>
      </c>
      <c r="EU1" t="e">
        <f>AND(Inputs!J11,"AAAAAH3zvZY=")</f>
        <v>#VALUE!</v>
      </c>
      <c r="EV1" t="e">
        <f>AND(Inputs!K11,"AAAAAH3zvZc=")</f>
        <v>#VALUE!</v>
      </c>
      <c r="EW1" t="e">
        <f>AND(Inputs!L11,"AAAAAH3zvZg=")</f>
        <v>#VALUE!</v>
      </c>
      <c r="EX1" t="e">
        <f>AND(Inputs!M11,"AAAAAH3zvZk=")</f>
        <v>#VALUE!</v>
      </c>
      <c r="EY1">
        <f>IF(Inputs!12:12,"AAAAAH3zvZo=",0)</f>
        <v>0</v>
      </c>
      <c r="EZ1" t="e">
        <f>AND(Inputs!A12,"AAAAAH3zvZs=")</f>
        <v>#VALUE!</v>
      </c>
      <c r="FA1" t="e">
        <f>AND(Inputs!B12,"AAAAAH3zvZw=")</f>
        <v>#VALUE!</v>
      </c>
      <c r="FB1" t="e">
        <f>AND(Inputs!C12,"AAAAAH3zvZ0=")</f>
        <v>#VALUE!</v>
      </c>
      <c r="FC1" t="e">
        <f>AND(Inputs!D12,"AAAAAH3zvZ4=")</f>
        <v>#VALUE!</v>
      </c>
      <c r="FD1" t="e">
        <f>AND(Inputs!E12,"AAAAAH3zvZ8=")</f>
        <v>#VALUE!</v>
      </c>
      <c r="FE1" t="e">
        <f>AND(Inputs!F12,"AAAAAH3zvaA=")</f>
        <v>#VALUE!</v>
      </c>
      <c r="FF1" t="e">
        <f>AND(Inputs!G12,"AAAAAH3zvaE=")</f>
        <v>#VALUE!</v>
      </c>
      <c r="FG1" t="e">
        <f>AND(Inputs!H12,"AAAAAH3zvaI=")</f>
        <v>#VALUE!</v>
      </c>
      <c r="FH1" t="e">
        <f>AND(Inputs!I12,"AAAAAH3zvaM=")</f>
        <v>#VALUE!</v>
      </c>
      <c r="FI1" t="e">
        <f>AND(Inputs!J12,"AAAAAH3zvaQ=")</f>
        <v>#VALUE!</v>
      </c>
      <c r="FJ1" t="e">
        <f>AND(Inputs!K12,"AAAAAH3zvaU=")</f>
        <v>#VALUE!</v>
      </c>
      <c r="FK1" t="e">
        <f>AND(Inputs!L12,"AAAAAH3zvaY=")</f>
        <v>#VALUE!</v>
      </c>
      <c r="FL1" t="e">
        <f>AND(Inputs!M12,"AAAAAH3zvac=")</f>
        <v>#VALUE!</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f>IF(Inputs!15:15,"AAAAAH3zve4=",0)</f>
        <v>0</v>
      </c>
      <c r="IF1" t="e">
        <f>AND(Inputs!A15,"AAAAAH3zve8=")</f>
        <v>#VALUE!</v>
      </c>
      <c r="IG1" t="e">
        <f>AND(Inputs!B15,"AAAAAH3zvfA=")</f>
        <v>#VALUE!</v>
      </c>
      <c r="IH1" t="e">
        <f>AND(Inputs!C15,"AAAAAH3zvfE=")</f>
        <v>#VALUE!</v>
      </c>
      <c r="II1" t="e">
        <f>AND(Inputs!D15,"AAAAAH3zvfI=")</f>
        <v>#VALUE!</v>
      </c>
      <c r="IJ1" t="e">
        <f>AND(Inputs!E15,"AAAAAH3zvfM=")</f>
        <v>#VALUE!</v>
      </c>
      <c r="IK1" t="e">
        <f>AND(Inputs!#REF!,"AAAAAH3zvfQ=")</f>
        <v>#REF!</v>
      </c>
      <c r="IL1" t="e">
        <f>AND(Inputs!G15,"AAAAAH3zvfU=")</f>
        <v>#VALUE!</v>
      </c>
      <c r="IM1" t="e">
        <f>AND(Inputs!H15,"AAAAAH3zvfY=")</f>
        <v>#VALUE!</v>
      </c>
      <c r="IN1" t="e">
        <f>AND(Inputs!I15,"AAAAAH3zvfc=")</f>
        <v>#VALUE!</v>
      </c>
      <c r="IO1" t="e">
        <f>AND(Inputs!J15,"AAAAAH3zvfg=")</f>
        <v>#VALUE!</v>
      </c>
      <c r="IP1" t="e">
        <f>AND(Inputs!K15,"AAAAAH3zvfk=")</f>
        <v>#VALUE!</v>
      </c>
      <c r="IQ1" t="e">
        <f>AND(Inputs!L15,"AAAAAH3zvfo=")</f>
        <v>#VALUE!</v>
      </c>
      <c r="IR1" t="e">
        <f>AND(Inputs!M15,"AAAAAH3zvfs=")</f>
        <v>#VALUE!</v>
      </c>
      <c r="IS1">
        <f>IF(Inputs!18:18,"AAAAAH3zvfw=",0)</f>
        <v>0</v>
      </c>
      <c r="IT1" t="e">
        <f>AND(Inputs!A18,"AAAAAH3zvf0=")</f>
        <v>#VALUE!</v>
      </c>
      <c r="IU1" t="e">
        <f>AND(Inputs!B18,"AAAAAH3zvf4=")</f>
        <v>#VALUE!</v>
      </c>
      <c r="IV1" t="e">
        <f>AND(Inputs!C18,"AAAAAH3zvf8=")</f>
        <v>#VALUE!</v>
      </c>
    </row>
    <row r="2" spans="1:256">
      <c r="A2" t="e">
        <f>AND(Inputs!D18,"AAAAADvfbwA=")</f>
        <v>#VALUE!</v>
      </c>
      <c r="B2" t="e">
        <f>AND(Inputs!E18,"AAAAADvfbwE=")</f>
        <v>#VALUE!</v>
      </c>
      <c r="C2" t="e">
        <f>AND(Inputs!#REF!,"AAAAADvfbwI=")</f>
        <v>#REF!</v>
      </c>
      <c r="D2" t="e">
        <f>AND(Inputs!G18,"AAAAADvfbwM=")</f>
        <v>#VALUE!</v>
      </c>
      <c r="E2" t="e">
        <f>AND(Inputs!H18,"AAAAADvfbwQ=")</f>
        <v>#VALUE!</v>
      </c>
      <c r="F2" t="e">
        <f>AND(Inputs!I18,"AAAAADvfbwU=")</f>
        <v>#VALUE!</v>
      </c>
      <c r="G2" t="e">
        <f>AND(Inputs!J18,"AAAAADvfbwY=")</f>
        <v>#VALUE!</v>
      </c>
      <c r="H2" t="e">
        <f>AND(Inputs!K18,"AAAAADvfbwc=")</f>
        <v>#VALUE!</v>
      </c>
      <c r="I2" t="e">
        <f>AND(Inputs!L18,"AAAAADvfbwg=")</f>
        <v>#VALUE!</v>
      </c>
      <c r="J2" t="e">
        <f>AND(Inputs!M18,"AAAAADvfbwk=")</f>
        <v>#VALUE!</v>
      </c>
      <c r="K2">
        <f>IF(Inputs!20:20,"AAAAADvfbwo=",0)</f>
        <v>0</v>
      </c>
      <c r="L2" t="e">
        <f>AND(Inputs!A20,"AAAAADvfbws=")</f>
        <v>#VALUE!</v>
      </c>
      <c r="M2" t="e">
        <f>AND(Inputs!B20,"AAAAADvfbww=")</f>
        <v>#VALUE!</v>
      </c>
      <c r="N2" t="e">
        <f>AND(Inputs!C20,"AAAAADvfbw0=")</f>
        <v>#VALUE!</v>
      </c>
      <c r="O2" t="e">
        <f>AND(Inputs!D20,"AAAAADvfbw4=")</f>
        <v>#VALUE!</v>
      </c>
      <c r="P2" t="e">
        <f>AND(Inputs!E20,"AAAAADvfbw8=")</f>
        <v>#VALUE!</v>
      </c>
      <c r="Q2" t="e">
        <f>AND(Inputs!F20,"AAAAADvfbxA=")</f>
        <v>#VALUE!</v>
      </c>
      <c r="R2" t="e">
        <f>AND(Inputs!G20,"AAAAADvfbxE=")</f>
        <v>#VALUE!</v>
      </c>
      <c r="S2" t="e">
        <f>AND(Inputs!H20,"AAAAADvfbxI=")</f>
        <v>#VALUE!</v>
      </c>
      <c r="T2" t="e">
        <f>AND(Inputs!I20,"AAAAADvfbxM=")</f>
        <v>#VALUE!</v>
      </c>
      <c r="U2" t="e">
        <f>AND(Inputs!J20,"AAAAADvfbxQ=")</f>
        <v>#VALUE!</v>
      </c>
      <c r="V2" t="e">
        <f>AND(Inputs!K20,"AAAAADvfbxU=")</f>
        <v>#VALUE!</v>
      </c>
      <c r="W2" t="e">
        <f>AND(Inputs!L20,"AAAAADvfbxY=")</f>
        <v>#VALUE!</v>
      </c>
      <c r="X2" t="e">
        <f>AND(Inputs!M20,"AAAAADvfbxc=")</f>
        <v>#VALUE!</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f>IF(Inputs!21:21,"AAAAADZv8zA=",0)</f>
        <v>0</v>
      </c>
      <c r="AX3" t="e">
        <f>AND(Inputs!A21,"AAAAADZv8zE=")</f>
        <v>#VALUE!</v>
      </c>
      <c r="AY3" t="e">
        <f>AND(Inputs!B21,"AAAAADZv8zI=")</f>
        <v>#VALUE!</v>
      </c>
      <c r="AZ3" t="e">
        <f>AND(Inputs!C21,"AAAAADZv8zM=")</f>
        <v>#VALUE!</v>
      </c>
      <c r="BA3" t="e">
        <f>AND(Inputs!D21,"AAAAADZv8zQ=")</f>
        <v>#VALUE!</v>
      </c>
      <c r="BB3" t="e">
        <f>AND(Inputs!E21,"AAAAADZv8zU=")</f>
        <v>#VALUE!</v>
      </c>
      <c r="BC3" t="e">
        <f>AND(Inputs!F21,"AAAAADZv8zY=")</f>
        <v>#VALUE!</v>
      </c>
      <c r="BD3" t="e">
        <f>AND(Inputs!G21,"AAAAADZv8zc=")</f>
        <v>#VALUE!</v>
      </c>
      <c r="BE3" t="e">
        <f>AND(Inputs!H21,"AAAAADZv8zg=")</f>
        <v>#VALUE!</v>
      </c>
      <c r="BF3" t="e">
        <f>AND(Inputs!I21,"AAAAADZv8zk=")</f>
        <v>#VALUE!</v>
      </c>
      <c r="BG3" t="e">
        <f>AND(Inputs!J21,"AAAAADZv8zo=")</f>
        <v>#VALUE!</v>
      </c>
      <c r="BH3" t="e">
        <f>AND(Inputs!K21,"AAAAADZv8zs=")</f>
        <v>#VALUE!</v>
      </c>
      <c r="BI3" t="e">
        <f>AND(Inputs!L21,"AAAAADZv8zw=")</f>
        <v>#VALUE!</v>
      </c>
      <c r="BJ3" t="e">
        <f>AND(Inputs!M21,"AAAAADZv8z0=")</f>
        <v>#VALUE!</v>
      </c>
      <c r="BK3">
        <f>IF(Inputs!22:22,"AAAAADZv8z4=",0)</f>
        <v>0</v>
      </c>
      <c r="BL3" t="e">
        <f>AND(Inputs!A22,"AAAAADZv8z8=")</f>
        <v>#VALUE!</v>
      </c>
      <c r="BM3" t="e">
        <f>AND(Inputs!B22,"AAAAADZv80A=")</f>
        <v>#VALUE!</v>
      </c>
      <c r="BN3" t="e">
        <f>AND(Inputs!C22,"AAAAADZv80E=")</f>
        <v>#VALUE!</v>
      </c>
      <c r="BO3" t="e">
        <f>AND(Inputs!D22,"AAAAADZv80I=")</f>
        <v>#VALUE!</v>
      </c>
      <c r="BP3" t="e">
        <f>AND(Inputs!E22,"AAAAADZv80M=")</f>
        <v>#VALUE!</v>
      </c>
      <c r="BQ3" t="e">
        <f>AND(Inputs!F22,"AAAAADZv80Q=")</f>
        <v>#VALUE!</v>
      </c>
      <c r="BR3" t="e">
        <f>AND(Inputs!G22,"AAAAADZv80U=")</f>
        <v>#VALUE!</v>
      </c>
      <c r="BS3" t="e">
        <f>AND(Inputs!H22,"AAAAADZv80Y=")</f>
        <v>#VALUE!</v>
      </c>
      <c r="BT3" t="e">
        <f>AND(Inputs!I22,"AAAAADZv80c=")</f>
        <v>#VALUE!</v>
      </c>
      <c r="BU3" t="e">
        <f>AND(Inputs!J22,"AAAAADZv80g=")</f>
        <v>#VALUE!</v>
      </c>
      <c r="BV3" t="e">
        <f>AND(Inputs!K22,"AAAAADZv80k=")</f>
        <v>#VALUE!</v>
      </c>
      <c r="BW3" t="e">
        <f>AND(Inputs!L22,"AAAAADZv80o=")</f>
        <v>#VALUE!</v>
      </c>
      <c r="BX3" t="e">
        <f>AND(Inputs!M22,"AAAAADZv80s=")</f>
        <v>#VALUE!</v>
      </c>
      <c r="BY3">
        <f>IF(Inputs!23:23,"AAAAADZv80w=",0)</f>
        <v>0</v>
      </c>
      <c r="BZ3" t="e">
        <f>AND(Inputs!A23,"AAAAADZv800=")</f>
        <v>#VALUE!</v>
      </c>
      <c r="CA3" t="e">
        <f>AND(Inputs!B23,"AAAAADZv804=")</f>
        <v>#VALUE!</v>
      </c>
      <c r="CB3" t="e">
        <f>AND(Inputs!C23,"AAAAADZv808=")</f>
        <v>#VALUE!</v>
      </c>
      <c r="CC3" t="e">
        <f>AND(Inputs!D23,"AAAAADZv81A=")</f>
        <v>#VALUE!</v>
      </c>
      <c r="CD3" t="e">
        <f>AND(Inputs!E23,"AAAAADZv81E=")</f>
        <v>#VALUE!</v>
      </c>
      <c r="CE3" t="e">
        <f>AND(Inputs!F23,"AAAAADZv81I=")</f>
        <v>#VALUE!</v>
      </c>
      <c r="CF3" t="e">
        <f>AND(Inputs!G23,"AAAAADZv81M=")</f>
        <v>#VALUE!</v>
      </c>
      <c r="CG3" t="e">
        <f>AND(Inputs!H23,"AAAAADZv81Q=")</f>
        <v>#VALUE!</v>
      </c>
      <c r="CH3" t="e">
        <f>AND(Inputs!I23,"AAAAADZv81U=")</f>
        <v>#VALUE!</v>
      </c>
      <c r="CI3" t="e">
        <f>AND(Inputs!J23,"AAAAADZv81Y=")</f>
        <v>#VALUE!</v>
      </c>
      <c r="CJ3" t="e">
        <f>AND(Inputs!K23,"AAAAADZv81c=")</f>
        <v>#VALUE!</v>
      </c>
      <c r="CK3" t="e">
        <f>AND(Inputs!L23,"AAAAADZv81g=")</f>
        <v>#VALUE!</v>
      </c>
      <c r="CL3" t="e">
        <f>AND(Inputs!M23,"AAAAADZv81k=")</f>
        <v>#VALUE!</v>
      </c>
      <c r="CM3">
        <f>IF(Inputs!24:24,"AAAAADZv81o=",0)</f>
        <v>0</v>
      </c>
      <c r="CN3" t="e">
        <f>AND(Inputs!A24,"AAAAADZv81s=")</f>
        <v>#VALUE!</v>
      </c>
      <c r="CO3" t="e">
        <f>AND(Inputs!B24,"AAAAADZv81w=")</f>
        <v>#VALUE!</v>
      </c>
      <c r="CP3" t="e">
        <f>AND(Inputs!C24,"AAAAADZv810=")</f>
        <v>#VALUE!</v>
      </c>
      <c r="CQ3" t="e">
        <f>AND(Inputs!D24,"AAAAADZv814=")</f>
        <v>#VALUE!</v>
      </c>
      <c r="CR3" t="e">
        <f>AND(Inputs!E24,"AAAAADZv818=")</f>
        <v>#VALUE!</v>
      </c>
      <c r="CS3" t="e">
        <f>AND(Inputs!F24,"AAAAADZv82A=")</f>
        <v>#VALUE!</v>
      </c>
      <c r="CT3" t="e">
        <f>AND(Inputs!G24,"AAAAADZv82E=")</f>
        <v>#VALUE!</v>
      </c>
      <c r="CU3" t="e">
        <f>AND(Inputs!H24,"AAAAADZv82I=")</f>
        <v>#VALUE!</v>
      </c>
      <c r="CV3" t="e">
        <f>AND(Inputs!I24,"AAAAADZv82M=")</f>
        <v>#VALUE!</v>
      </c>
      <c r="CW3" t="e">
        <f>AND(Inputs!J24,"AAAAADZv82Q=")</f>
        <v>#VALUE!</v>
      </c>
      <c r="CX3" t="e">
        <f>AND(Inputs!K24,"AAAAADZv82U=")</f>
        <v>#VALUE!</v>
      </c>
      <c r="CY3" t="e">
        <f>AND(Inputs!L24,"AAAAADZv82Y=")</f>
        <v>#VALUE!</v>
      </c>
      <c r="CZ3" t="e">
        <f>AND(Inputs!M24,"AAAAADZv82c=")</f>
        <v>#VALUE!</v>
      </c>
      <c r="DA3">
        <f>IF(Inputs!26:26,"AAAAADZv82g=",0)</f>
        <v>0</v>
      </c>
      <c r="DB3" t="e">
        <f>AND(Inputs!A26,"AAAAADZv82k=")</f>
        <v>#VALUE!</v>
      </c>
      <c r="DC3" t="e">
        <f>AND(Inputs!B26,"AAAAADZv82o=")</f>
        <v>#VALUE!</v>
      </c>
      <c r="DD3" t="e">
        <f>AND(Inputs!C26,"AAAAADZv82s=")</f>
        <v>#VALUE!</v>
      </c>
      <c r="DE3" t="e">
        <f>AND(Inputs!D26,"AAAAADZv82w=")</f>
        <v>#VALUE!</v>
      </c>
      <c r="DF3" t="e">
        <f>AND(Inputs!E26,"AAAAADZv820=")</f>
        <v>#VALUE!</v>
      </c>
      <c r="DG3" t="e">
        <f>AND(Inputs!F26,"AAAAADZv824=")</f>
        <v>#VALUE!</v>
      </c>
      <c r="DH3" t="e">
        <f>AND(Inputs!G26,"AAAAADZv828=")</f>
        <v>#VALUE!</v>
      </c>
      <c r="DI3" t="e">
        <f>AND(Inputs!H26,"AAAAADZv83A=")</f>
        <v>#VALUE!</v>
      </c>
      <c r="DJ3" t="e">
        <f>AND(Inputs!I26,"AAAAADZv83E=")</f>
        <v>#VALUE!</v>
      </c>
      <c r="DK3" t="e">
        <f>AND(Inputs!J26,"AAAAADZv83I=")</f>
        <v>#VALUE!</v>
      </c>
      <c r="DL3" t="e">
        <f>AND(Inputs!K26,"AAAAADZv83M=")</f>
        <v>#VALUE!</v>
      </c>
      <c r="DM3" t="e">
        <f>AND(Inputs!L26,"AAAAADZv83Q=")</f>
        <v>#VALUE!</v>
      </c>
      <c r="DN3" t="e">
        <f>AND(Inputs!M26,"AAAAADZv83U=")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f>IF(Inputs!28:28,"AAAAAHZt9rg=",0)</f>
        <v>0</v>
      </c>
      <c r="GD4" t="e">
        <f>AND(Inputs!A28,"AAAAAHZt9rk=")</f>
        <v>#VALUE!</v>
      </c>
      <c r="GE4" t="e">
        <f>AND(Inputs!B28,"AAAAAHZt9ro=")</f>
        <v>#VALUE!</v>
      </c>
      <c r="GF4" t="e">
        <f>AND(Inputs!C28,"AAAAAHZt9rs=")</f>
        <v>#VALUE!</v>
      </c>
      <c r="GG4" t="e">
        <f>AND(Inputs!D28,"AAAAAHZt9rw=")</f>
        <v>#VALUE!</v>
      </c>
      <c r="GH4" t="e">
        <f>AND(Inputs!E28,"AAAAAHZt9r0=")</f>
        <v>#VALUE!</v>
      </c>
      <c r="GI4" t="e">
        <f>AND(Inputs!F28,"AAAAAHZt9r4=")</f>
        <v>#VALUE!</v>
      </c>
      <c r="GJ4" t="e">
        <f>AND(Inputs!G28,"AAAAAHZt9r8=")</f>
        <v>#VALUE!</v>
      </c>
      <c r="GK4" t="e">
        <f>AND(Inputs!H28,"AAAAAHZt9sA=")</f>
        <v>#VALUE!</v>
      </c>
      <c r="GL4" t="e">
        <f>AND(Inputs!I28,"AAAAAHZt9sE=")</f>
        <v>#VALUE!</v>
      </c>
      <c r="GM4" t="e">
        <f>AND(Inputs!J28,"AAAAAHZt9sI=")</f>
        <v>#VALUE!</v>
      </c>
      <c r="GN4" t="e">
        <f>AND(Inputs!K28,"AAAAAHZt9sM=")</f>
        <v>#VALUE!</v>
      </c>
      <c r="GO4" t="e">
        <f>AND(Inputs!L28,"AAAAAHZt9sQ=")</f>
        <v>#VALUE!</v>
      </c>
      <c r="GP4" t="e">
        <f>AND(Inputs!M28,"AAAAAHZt9sU=")</f>
        <v>#VALUE!</v>
      </c>
      <c r="GQ4">
        <f>IF(Inputs!29:29,"AAAAAHZt9sY=",0)</f>
        <v>0</v>
      </c>
      <c r="GR4" t="e">
        <f>AND(Inputs!A29,"AAAAAHZt9sc=")</f>
        <v>#VALUE!</v>
      </c>
      <c r="GS4" t="e">
        <f>AND(Inputs!B29,"AAAAAHZt9sg=")</f>
        <v>#VALUE!</v>
      </c>
      <c r="GT4" t="e">
        <f>AND(Inputs!C29,"AAAAAHZt9sk=")</f>
        <v>#VALUE!</v>
      </c>
      <c r="GU4" t="e">
        <f>AND(Inputs!D29,"AAAAAHZt9so=")</f>
        <v>#VALUE!</v>
      </c>
      <c r="GV4" t="e">
        <f>AND(Inputs!E29,"AAAAAHZt9ss=")</f>
        <v>#VALUE!</v>
      </c>
      <c r="GW4" t="e">
        <f>AND(Inputs!F29,"AAAAAHZt9sw=")</f>
        <v>#VALUE!</v>
      </c>
      <c r="GX4" t="e">
        <f>AND(Inputs!G29,"AAAAAHZt9s0=")</f>
        <v>#VALUE!</v>
      </c>
      <c r="GY4" t="e">
        <f>AND(Inputs!H29,"AAAAAHZt9s4=")</f>
        <v>#VALUE!</v>
      </c>
      <c r="GZ4" t="e">
        <f>AND(Inputs!I29,"AAAAAHZt9s8=")</f>
        <v>#VALUE!</v>
      </c>
      <c r="HA4" t="e">
        <f>AND(Inputs!J29,"AAAAAHZt9tA=")</f>
        <v>#VALUE!</v>
      </c>
      <c r="HB4" t="e">
        <f>AND(Inputs!K29,"AAAAAHZt9tE=")</f>
        <v>#VALUE!</v>
      </c>
      <c r="HC4" t="e">
        <f>AND(Inputs!L29,"AAAAAHZt9tI=")</f>
        <v>#VALUE!</v>
      </c>
      <c r="HD4" t="e">
        <f>AND(Inputs!M29,"AAAAAHZt9tM=")</f>
        <v>#VALUE!</v>
      </c>
      <c r="HE4">
        <f>IF(Inputs!30:30,"AAAAAHZt9tQ=",0)</f>
        <v>0</v>
      </c>
      <c r="HF4" t="e">
        <f>AND(Inputs!A30,"AAAAAHZt9tU=")</f>
        <v>#VALUE!</v>
      </c>
      <c r="HG4" t="e">
        <f>AND(Inputs!B30,"AAAAAHZt9tY=")</f>
        <v>#VALUE!</v>
      </c>
      <c r="HH4" t="e">
        <f>AND(Inputs!C30,"AAAAAHZt9tc=")</f>
        <v>#VALUE!</v>
      </c>
      <c r="HI4" t="e">
        <f>AND(Inputs!D30,"AAAAAHZt9tg=")</f>
        <v>#VALUE!</v>
      </c>
      <c r="HJ4" t="e">
        <f>AND(Inputs!E30,"AAAAAHZt9tk=")</f>
        <v>#VALUE!</v>
      </c>
      <c r="HK4" t="e">
        <f>AND(Inputs!F30,"AAAAAHZt9to=")</f>
        <v>#VALUE!</v>
      </c>
      <c r="HL4" t="e">
        <f>AND(Inputs!G30,"AAAAAHZt9ts=")</f>
        <v>#VALUE!</v>
      </c>
      <c r="HM4" t="e">
        <f>AND(Inputs!H30,"AAAAAHZt9tw=")</f>
        <v>#VALUE!</v>
      </c>
      <c r="HN4" t="e">
        <f>AND(Inputs!I30,"AAAAAHZt9t0=")</f>
        <v>#VALUE!</v>
      </c>
      <c r="HO4" t="e">
        <f>AND(Inputs!J30,"AAAAAHZt9t4=")</f>
        <v>#VALUE!</v>
      </c>
      <c r="HP4" t="e">
        <f>AND(Inputs!K30,"AAAAAHZt9t8=")</f>
        <v>#VALUE!</v>
      </c>
      <c r="HQ4" t="e">
        <f>AND(Inputs!L30,"AAAAAHZt9uA=")</f>
        <v>#VALUE!</v>
      </c>
      <c r="HR4" t="e">
        <f>AND(Inputs!M30,"AAAAAHZt9uE=")</f>
        <v>#VALUE!</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t="e">
        <f>IF(Inputs!#REF!,"AAAAAH9/rzY=",0)</f>
        <v>#REF!</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AND(Inputs!#REF!,"AAAAAH9/rz0=")</f>
        <v>#REF!</v>
      </c>
      <c r="BK5" t="e">
        <f>AND(Inputs!#REF!,"AAAAAH9/rz4=")</f>
        <v>#REF!</v>
      </c>
      <c r="BL5" t="e">
        <f>AND(Inputs!#REF!,"AAAAAH9/rz8=")</f>
        <v>#REF!</v>
      </c>
      <c r="BM5" t="e">
        <f>AND(Inputs!#REF!,"AAAAAH9/r0A=")</f>
        <v>#REF!</v>
      </c>
      <c r="BN5" t="e">
        <f>AND(Inputs!#REF!,"AAAAAH9/r0E=")</f>
        <v>#REF!</v>
      </c>
      <c r="BO5" t="e">
        <f>AND(Inputs!#REF!,"AAAAAH9/r0I=")</f>
        <v>#REF!</v>
      </c>
      <c r="BP5" t="e">
        <f>AND(Inputs!#REF!,"AAAAAH9/r0M=")</f>
        <v>#REF!</v>
      </c>
      <c r="BQ5" t="e">
        <f>IF(Inputs!#REF!,"AAAAAH9/r0Q=",0)</f>
        <v>#REF!</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AND(Inputs!#REF!,"AAAAAH9/r0s=")</f>
        <v>#REF!</v>
      </c>
      <c r="BY5" t="e">
        <f>AND(Inputs!#REF!,"AAAAAH9/r0w=")</f>
        <v>#REF!</v>
      </c>
      <c r="BZ5" t="e">
        <f>AND(Inputs!#REF!,"AAAAAH9/r00=")</f>
        <v>#REF!</v>
      </c>
      <c r="CA5" t="e">
        <f>AND(Inputs!#REF!,"AAAAAH9/r04=")</f>
        <v>#REF!</v>
      </c>
      <c r="CB5" t="e">
        <f>AND(Inputs!#REF!,"AAAAAH9/r08=")</f>
        <v>#REF!</v>
      </c>
      <c r="CC5" t="e">
        <f>AND(Inputs!#REF!,"AAAAAH9/r1A=")</f>
        <v>#REF!</v>
      </c>
      <c r="CD5" t="e">
        <f>AND(Inputs!#REF!,"AAAAAH9/r1E=")</f>
        <v>#REF!</v>
      </c>
      <c r="CE5" t="e">
        <f>IF(Inputs!#REF!,"AAAAAH9/r1I=",0)</f>
        <v>#REF!</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AND(Inputs!#REF!,"AAAAAH9/r1k=")</f>
        <v>#REF!</v>
      </c>
      <c r="CM5" t="e">
        <f>AND(Inputs!#REF!,"AAAAAH9/r1o=")</f>
        <v>#REF!</v>
      </c>
      <c r="CN5" t="e">
        <f>AND(Inputs!#REF!,"AAAAAH9/r1s=")</f>
        <v>#REF!</v>
      </c>
      <c r="CO5" t="e">
        <f>AND(Inputs!#REF!,"AAAAAH9/r1w=")</f>
        <v>#REF!</v>
      </c>
      <c r="CP5" t="e">
        <f>AND(Inputs!#REF!,"AAAAAH9/r10=")</f>
        <v>#REF!</v>
      </c>
      <c r="CQ5" t="e">
        <f>AND(Inputs!#REF!,"AAAAAH9/r14=")</f>
        <v>#REF!</v>
      </c>
      <c r="CR5" t="e">
        <f>AND(Inputs!#REF!,"AAAAAH9/r18=")</f>
        <v>#REF!</v>
      </c>
      <c r="CS5" t="e">
        <f>IF(Inputs!#REF!,"AAAAAH9/r2A=",0)</f>
        <v>#REF!</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AND(Output!I1,"AAAAAH9/r3c=")</f>
        <v>#VALUE!</v>
      </c>
      <c r="DQ5" t="e">
        <f>AND(Output!J1,"AAAAAH9/r3g=")</f>
        <v>#VALUE!</v>
      </c>
      <c r="DR5" t="e">
        <f>AND(Output!K1,"AAAAAH9/r3k=")</f>
        <v>#VALUE!</v>
      </c>
      <c r="DS5" t="e">
        <f>AND(Output!L1,"AAAAAH9/r3o=")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AND(Output!I2,"AAAAAH9/r4Q=")</f>
        <v>#VALUE!</v>
      </c>
      <c r="ED5" t="e">
        <f>AND(Output!J2,"AAAAAH9/r4U=")</f>
        <v>#VALUE!</v>
      </c>
      <c r="EE5" t="e">
        <f>AND(Output!K2,"AAAAAH9/r4Y=")</f>
        <v>#VALUE!</v>
      </c>
      <c r="EF5" t="e">
        <f>AND(Output!L2,"AAAAAH9/r4c=")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IF(Output!4:4,"AAAAAH9/r5U=",0)</f>
        <v>0</v>
      </c>
      <c r="EU5" t="e">
        <f>AND(Output!A4,"AAAAAH9/r5Y=")</f>
        <v>#VALUE!</v>
      </c>
      <c r="EV5" t="e">
        <f>AND(Output!B4,"AAAAAH9/r5c=")</f>
        <v>#VALUE!</v>
      </c>
      <c r="EW5" t="e">
        <f>AND(Output!C4,"AAAAAH9/r5g=")</f>
        <v>#VALUE!</v>
      </c>
      <c r="EX5" t="e">
        <f>AND(Output!D4,"AAAAAH9/r5k=")</f>
        <v>#VALUE!</v>
      </c>
      <c r="EY5" t="e">
        <f>AND(Output!E4,"AAAAAH9/r5o=")</f>
        <v>#VALUE!</v>
      </c>
      <c r="EZ5" t="e">
        <f>AND(Output!F4,"AAAAAH9/r5s=")</f>
        <v>#VALUE!</v>
      </c>
      <c r="FA5" t="e">
        <f>AND(Output!G4,"AAAAAH9/r5w=")</f>
        <v>#VALUE!</v>
      </c>
      <c r="FB5" t="e">
        <f>AND(Output!H4,"AAAAAH9/r50=")</f>
        <v>#VALUE!</v>
      </c>
      <c r="FC5" t="e">
        <f>AND(Output!I4,"AAAAAH9/r54=")</f>
        <v>#VALUE!</v>
      </c>
      <c r="FD5" t="e">
        <f>AND(Output!J4,"AAAAAH9/r58=")</f>
        <v>#VALUE!</v>
      </c>
      <c r="FE5" t="e">
        <f>AND(Output!K4,"AAAAAH9/r6A=")</f>
        <v>#VALUE!</v>
      </c>
      <c r="FF5" t="e">
        <f>AND(Output!L4,"AAAAAH9/r6E=")</f>
        <v>#VALUE!</v>
      </c>
      <c r="FG5">
        <f>IF(Output!5:5,"AAAAAH9/r6I=",0)</f>
        <v>0</v>
      </c>
      <c r="FH5" t="e">
        <f>AND(Output!A5,"AAAAAH9/r6M=")</f>
        <v>#VALUE!</v>
      </c>
      <c r="FI5" t="e">
        <f>AND(Output!B5,"AAAAAH9/r6Q=")</f>
        <v>#VALUE!</v>
      </c>
      <c r="FJ5" t="e">
        <f>AND(Output!#REF!,"AAAAAH9/r6U=")</f>
        <v>#REF!</v>
      </c>
      <c r="FK5" t="e">
        <f>AND(Output!#REF!,"AAAAAH9/r6Y=")</f>
        <v>#REF!</v>
      </c>
      <c r="FL5" t="e">
        <f>AND(Output!C5,"AAAAAH9/r6c=")</f>
        <v>#VALUE!</v>
      </c>
      <c r="FM5" t="e">
        <f>AND(Output!D5,"AAAAAH9/r6g=")</f>
        <v>#VALUE!</v>
      </c>
      <c r="FN5" t="e">
        <f>AND(Output!E5,"AAAAAH9/r6k=")</f>
        <v>#VALUE!</v>
      </c>
      <c r="FO5" t="e">
        <f>AND(Output!F5,"AAAAAH9/r6o=")</f>
        <v>#VALUE!</v>
      </c>
      <c r="FP5" t="e">
        <f>AND(Output!G5,"AAAAAH9/r6s=")</f>
        <v>#VALUE!</v>
      </c>
      <c r="FQ5" t="e">
        <f>AND(Output!H5,"AAAAAH9/r6w=")</f>
        <v>#VALUE!</v>
      </c>
      <c r="FR5" t="e">
        <f>AND(Output!I5,"AAAAAH9/r60=")</f>
        <v>#VALUE!</v>
      </c>
      <c r="FS5" t="e">
        <f>AND(Output!J5,"AAAAAH9/r64=")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AND(Output!#REF!,"AAAAAH9/r7o=")</f>
        <v>#REF!</v>
      </c>
      <c r="GF5" t="e">
        <f>AND(Output!I9,"AAAAAH9/r7s=")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c r="A9" t="str">
        <f>IF(Output!D:D,"AAAAAH3//wA=",0)</f>
        <v>AAAAAH3//wA=</v>
      </c>
      <c r="B9" t="str">
        <f>IF(Output!E:E,"AAAAAH3//wE=",0)</f>
        <v>AAAAAH3//wE=</v>
      </c>
      <c r="C9" t="str">
        <f>IF(Output!F:F,"AAAAAH3//wI=",0)</f>
        <v>AAAAAH3//wI=</v>
      </c>
      <c r="D9" t="str">
        <f>IF(Output!G:G,"AAAAAH3//wM=",0)</f>
        <v>AAAAAH3//wM=</v>
      </c>
      <c r="E9" t="str">
        <f>IF(Output!H:H,"AAAAAH3//wQ=",0)</f>
        <v>AAAAAH3//wQ=</v>
      </c>
      <c r="F9">
        <f>IF(Output!I:I,"AAAAAH3//wU=",0)</f>
        <v>0</v>
      </c>
      <c r="G9">
        <f>IF(Output!J:J,"AAAAAH3//wY=",0)</f>
        <v>0</v>
      </c>
      <c r="H9">
        <f>IF(Output!K:K,"AAAAAH3//wc=",0)</f>
        <v>0</v>
      </c>
      <c r="I9">
        <f>IF(Output!L:L,"AAAAAH3//wg=",0)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IF(Boiler!1:1,"AAAAAGvv7js=",0)</f>
        <v>0</v>
      </c>
      <c r="BI25" t="e">
        <f>AND(Boiler!A1,"AAAAAGvv7jw=")</f>
        <v>#VALUE!</v>
      </c>
      <c r="BJ25" t="e">
        <f>AND(Boiler!B1,"AAAAAGvv7j0=")</f>
        <v>#VALUE!</v>
      </c>
      <c r="BK25" t="e">
        <f>AND(Boiler!C1,"AAAAAGvv7j4=")</f>
        <v>#VALUE!</v>
      </c>
      <c r="BL25" t="e">
        <f>AND(Boiler!D1,"AAAAAGvv7j8=")</f>
        <v>#VALUE!</v>
      </c>
      <c r="BM25" t="e">
        <f>AND(Boiler!E1,"AAAAAGvv7kA=")</f>
        <v>#VALUE!</v>
      </c>
      <c r="BN25" t="e">
        <f>AND(Boiler!F1,"AAAAAGvv7kE=")</f>
        <v>#VALUE!</v>
      </c>
      <c r="BO25" t="e">
        <f>AND(Boiler!G1,"AAAAAGvv7kI=")</f>
        <v>#VALUE!</v>
      </c>
      <c r="BP25" t="e">
        <f>AND(Boiler!H1,"AAAAAGvv7kM=")</f>
        <v>#VALUE!</v>
      </c>
      <c r="BQ25" t="e">
        <f>AND(Boiler!I1,"AAAAAGvv7kQ=")</f>
        <v>#VALUE!</v>
      </c>
      <c r="BR25" t="e">
        <f>AND(Boiler!J1,"AAAAAGvv7kU=")</f>
        <v>#VALUE!</v>
      </c>
      <c r="BS25" t="e">
        <f>AND(Boiler!K1,"AAAAAGvv7kY=")</f>
        <v>#VALUE!</v>
      </c>
      <c r="BT25" t="e">
        <f>AND(Boiler!L1,"AAAAAGvv7kc=")</f>
        <v>#VALUE!</v>
      </c>
      <c r="BU25" t="e">
        <f>AND(Boiler!M1,"AAAAAGvv7kg=")</f>
        <v>#VALUE!</v>
      </c>
      <c r="BV25" t="e">
        <f>AND(Boiler!N1,"AAAAAGvv7kk=")</f>
        <v>#VALUE!</v>
      </c>
      <c r="BW25" t="e">
        <f>AND(Boiler!O1,"AAAAAGvv7ko=")</f>
        <v>#VALUE!</v>
      </c>
      <c r="BX25">
        <f>IF(Boiler!2:2,"AAAAAGvv7ks=",0)</f>
        <v>0</v>
      </c>
      <c r="BY25" t="e">
        <f>AND(Boiler!A2,"AAAAAGvv7kw=")</f>
        <v>#VALUE!</v>
      </c>
      <c r="BZ25" t="e">
        <f>AND(Boiler!B2,"AAAAAGvv7k0=")</f>
        <v>#VALUE!</v>
      </c>
      <c r="CA25" t="e">
        <f>AND(Boiler!C2,"AAAAAGvv7k4=")</f>
        <v>#VALUE!</v>
      </c>
      <c r="CB25" t="e">
        <f>AND(Boiler!D2,"AAAAAGvv7k8=")</f>
        <v>#VALUE!</v>
      </c>
      <c r="CC25" t="e">
        <f>AND(Boiler!E2,"AAAAAGvv7lA=")</f>
        <v>#VALUE!</v>
      </c>
      <c r="CD25" t="e">
        <f>AND(Boiler!F2,"AAAAAGvv7lE=")</f>
        <v>#VALUE!</v>
      </c>
      <c r="CE25" t="e">
        <f>AND(Boiler!G2,"AAAAAGvv7lI=")</f>
        <v>#VALUE!</v>
      </c>
      <c r="CF25" t="e">
        <f>AND(Boiler!H2,"AAAAAGvv7lM=")</f>
        <v>#VALUE!</v>
      </c>
      <c r="CG25" t="e">
        <f>AND(Boiler!I2,"AAAAAGvv7lQ=")</f>
        <v>#VALUE!</v>
      </c>
      <c r="CH25" t="e">
        <f>AND(Boiler!J2,"AAAAAGvv7lU=")</f>
        <v>#VALUE!</v>
      </c>
      <c r="CI25" t="e">
        <f>AND(Boiler!K2,"AAAAAGvv7lY=")</f>
        <v>#VALUE!</v>
      </c>
      <c r="CJ25" t="e">
        <f>AND(Boiler!L2,"AAAAAGvv7lc=")</f>
        <v>#VALUE!</v>
      </c>
      <c r="CK25" t="e">
        <f>AND(Boiler!M2,"AAAAAGvv7lg=")</f>
        <v>#VALUE!</v>
      </c>
      <c r="CL25" t="e">
        <f>AND(Boiler!N2,"AAAAAGvv7lk=")</f>
        <v>#VALUE!</v>
      </c>
      <c r="CM25" t="e">
        <f>AND(Boiler!O2,"AAAAAGvv7lo=")</f>
        <v>#VALUE!</v>
      </c>
      <c r="CN25" t="e">
        <f>IF(Boiler!#REF!,"AAAAAGvv7ls=",0)</f>
        <v>#REF!</v>
      </c>
      <c r="CO25" t="e">
        <f>AND(Boiler!#REF!,"AAAAAGvv7lw=")</f>
        <v>#REF!</v>
      </c>
      <c r="CP25" t="e">
        <f>AND(Boiler!#REF!,"AAAAAGvv7l0=")</f>
        <v>#REF!</v>
      </c>
      <c r="CQ25" t="e">
        <f>AND(Boiler!#REF!,"AAAAAGvv7l4=")</f>
        <v>#REF!</v>
      </c>
      <c r="CR25" t="e">
        <f>AND(Boiler!#REF!,"AAAAAGvv7l8=")</f>
        <v>#REF!</v>
      </c>
      <c r="CS25" t="e">
        <f>AND(Boiler!#REF!,"AAAAAGvv7mA=")</f>
        <v>#REF!</v>
      </c>
      <c r="CT25" t="e">
        <f>AND(Boiler!#REF!,"AAAAAGvv7mE=")</f>
        <v>#REF!</v>
      </c>
      <c r="CU25" t="e">
        <f>AND(Boiler!#REF!,"AAAAAGvv7mI=")</f>
        <v>#REF!</v>
      </c>
      <c r="CV25" t="e">
        <f>AND(Boiler!#REF!,"AAAAAGvv7mM=")</f>
        <v>#REF!</v>
      </c>
      <c r="CW25" t="e">
        <f>AND(Boiler!#REF!,"AAAAAGvv7mQ=")</f>
        <v>#REF!</v>
      </c>
      <c r="CX25" t="e">
        <f>AND(Boiler!#REF!,"AAAAAGvv7mU=")</f>
        <v>#REF!</v>
      </c>
      <c r="CY25" t="e">
        <f>AND(Boiler!#REF!,"AAAAAGvv7mY=")</f>
        <v>#REF!</v>
      </c>
      <c r="CZ25" t="e">
        <f>AND(Boiler!#REF!,"AAAAAGvv7mc=")</f>
        <v>#REF!</v>
      </c>
      <c r="DA25" t="e">
        <f>AND(Boiler!#REF!,"AAAAAGvv7mg=")</f>
        <v>#REF!</v>
      </c>
      <c r="DB25" t="e">
        <f>AND(Boiler!#REF!,"AAAAAGvv7mk=")</f>
        <v>#REF!</v>
      </c>
      <c r="DC25" t="e">
        <f>AND(Boiler!#REF!,"AAAAAGvv7mo=")</f>
        <v>#REF!</v>
      </c>
      <c r="DD25">
        <f>IF(Boiler!3:3,"AAAAAGvv7ms=",0)</f>
        <v>0</v>
      </c>
      <c r="DE25" t="e">
        <f>AND(Boiler!A3,"AAAAAGvv7mw=")</f>
        <v>#VALUE!</v>
      </c>
      <c r="DF25" t="e">
        <f>AND(Boiler!B3,"AAAAAGvv7m0=")</f>
        <v>#VALUE!</v>
      </c>
      <c r="DG25" t="e">
        <f>AND(Boiler!C3,"AAAAAGvv7m4=")</f>
        <v>#VALUE!</v>
      </c>
      <c r="DH25" t="e">
        <f>AND(Boiler!D3,"AAAAAGvv7m8=")</f>
        <v>#VALUE!</v>
      </c>
      <c r="DI25" t="e">
        <f>AND(Boiler!E3,"AAAAAGvv7nA=")</f>
        <v>#VALUE!</v>
      </c>
      <c r="DJ25" t="e">
        <f>AND(Boiler!F3,"AAAAAGvv7nE=")</f>
        <v>#VALUE!</v>
      </c>
      <c r="DK25" t="e">
        <f>AND(Boiler!G3,"AAAAAGvv7nI=")</f>
        <v>#VALUE!</v>
      </c>
      <c r="DL25" t="e">
        <f>AND(Boiler!H3,"AAAAAGvv7nM=")</f>
        <v>#VALUE!</v>
      </c>
      <c r="DM25" t="e">
        <f>AND(Boiler!I3,"AAAAAGvv7nQ=")</f>
        <v>#VALUE!</v>
      </c>
      <c r="DN25" t="e">
        <f>AND(Boiler!J3,"AAAAAGvv7nU=")</f>
        <v>#VALUE!</v>
      </c>
      <c r="DO25" t="e">
        <f>AND(Boiler!K3,"AAAAAGvv7nY=")</f>
        <v>#VALUE!</v>
      </c>
      <c r="DP25" t="e">
        <f>AND(Boiler!L3,"AAAAAGvv7nc=")</f>
        <v>#VALUE!</v>
      </c>
      <c r="DQ25" t="e">
        <f>AND(Boiler!M3,"AAAAAGvv7ng=")</f>
        <v>#VALUE!</v>
      </c>
      <c r="DR25" t="e">
        <f>AND(Boiler!N3,"AAAAAGvv7nk=")</f>
        <v>#VALUE!</v>
      </c>
      <c r="DS25" t="e">
        <f>AND(Boiler!O3,"AAAAAGvv7no=")</f>
        <v>#VALUE!</v>
      </c>
      <c r="DT25">
        <f>IF(Boiler!4:4,"AAAAAGvv7ns=",0)</f>
        <v>0</v>
      </c>
      <c r="DU25" t="e">
        <f>AND(Boiler!A4,"AAAAAGvv7nw=")</f>
        <v>#VALUE!</v>
      </c>
      <c r="DV25" t="e">
        <f>AND(Boiler!B4,"AAAAAGvv7n0=")</f>
        <v>#VALUE!</v>
      </c>
      <c r="DW25" t="e">
        <f>AND(Boiler!C4,"AAAAAGvv7n4=")</f>
        <v>#VALUE!</v>
      </c>
      <c r="DX25" t="e">
        <f>AND(Boiler!D4,"AAAAAGvv7n8=")</f>
        <v>#VALUE!</v>
      </c>
      <c r="DY25" t="e">
        <f>AND(Boiler!E4,"AAAAAGvv7oA=")</f>
        <v>#VALUE!</v>
      </c>
      <c r="DZ25" t="e">
        <f>AND(Boiler!F4,"AAAAAGvv7oE=")</f>
        <v>#VALUE!</v>
      </c>
      <c r="EA25" t="e">
        <f>AND(Boiler!G4,"AAAAAGvv7oI=")</f>
        <v>#VALUE!</v>
      </c>
      <c r="EB25" t="e">
        <f>AND(Boiler!H4,"AAAAAGvv7oM=")</f>
        <v>#VALUE!</v>
      </c>
      <c r="EC25" t="e">
        <f>AND(Boiler!I5,"AAAAAGvv7oQ=")</f>
        <v>#VALUE!</v>
      </c>
      <c r="ED25" t="e">
        <f>AND(Boiler!J4,"AAAAAGvv7oU=")</f>
        <v>#VALUE!</v>
      </c>
      <c r="EE25" t="e">
        <f>AND(Boiler!K4,"AAAAAGvv7oY=")</f>
        <v>#VALUE!</v>
      </c>
      <c r="EF25" t="e">
        <f>AND(Boiler!L4,"AAAAAGvv7oc=")</f>
        <v>#VALUE!</v>
      </c>
      <c r="EG25" t="e">
        <f>AND(Boiler!M4,"AAAAAGvv7og=")</f>
        <v>#VALUE!</v>
      </c>
      <c r="EH25" t="e">
        <f>AND(Boiler!N4,"AAAAAGvv7ok=")</f>
        <v>#VALUE!</v>
      </c>
      <c r="EI25" t="e">
        <f>AND(Boiler!O4,"AAAAAGvv7oo=")</f>
        <v>#VALUE!</v>
      </c>
      <c r="EJ25">
        <f>IF(Boiler!5:5,"AAAAAGvv7os=",0)</f>
        <v>0</v>
      </c>
      <c r="EK25" t="e">
        <f>AND(Boiler!A5,"AAAAAGvv7ow=")</f>
        <v>#VALUE!</v>
      </c>
      <c r="EL25" t="e">
        <f>AND(Boiler!B5,"AAAAAGvv7o0=")</f>
        <v>#VALUE!</v>
      </c>
      <c r="EM25" t="e">
        <f>AND(Boiler!C5,"AAAAAGvv7o4=")</f>
        <v>#VALUE!</v>
      </c>
      <c r="EN25" t="e">
        <f>AND(Boiler!D5,"AAAAAGvv7o8=")</f>
        <v>#VALUE!</v>
      </c>
      <c r="EO25" t="e">
        <f>AND(Boiler!E5,"AAAAAGvv7pA=")</f>
        <v>#VALUE!</v>
      </c>
      <c r="EP25" t="e">
        <f>AND(Boiler!F5,"AAAAAGvv7pE=")</f>
        <v>#VALUE!</v>
      </c>
      <c r="EQ25" t="e">
        <f>AND(Boiler!G5,"AAAAAGvv7pI=")</f>
        <v>#VALUE!</v>
      </c>
      <c r="ER25" t="e">
        <f>AND(Boiler!H5,"AAAAAGvv7pM=")</f>
        <v>#VALUE!</v>
      </c>
      <c r="ES25" t="e">
        <f>AND(Boiler!I6,"AAAAAGvv7pQ=")</f>
        <v>#VALUE!</v>
      </c>
      <c r="ET25" t="e">
        <f>AND(Boiler!J5,"AAAAAGvv7pU=")</f>
        <v>#VALUE!</v>
      </c>
      <c r="EU25" t="e">
        <f>AND(Boiler!K5,"AAAAAGvv7pY=")</f>
        <v>#VALUE!</v>
      </c>
      <c r="EV25" t="e">
        <f>AND(Boiler!L5,"AAAAAGvv7pc=")</f>
        <v>#VALUE!</v>
      </c>
      <c r="EW25" t="e">
        <f>AND(Boiler!M5,"AAAAAGvv7pg=")</f>
        <v>#VALUE!</v>
      </c>
      <c r="EX25" t="e">
        <f>AND(Boiler!N5,"AAAAAGvv7pk=")</f>
        <v>#VALUE!</v>
      </c>
      <c r="EY25" t="e">
        <f>AND(Boiler!O5,"AAAAAGvv7po=")</f>
        <v>#VALUE!</v>
      </c>
      <c r="EZ25">
        <f>IF(Boiler!6:6,"AAAAAGvv7ps=",0)</f>
        <v>0</v>
      </c>
      <c r="FA25" t="e">
        <f>AND(Boiler!A6,"AAAAAGvv7pw=")</f>
        <v>#VALUE!</v>
      </c>
      <c r="FB25" t="e">
        <f>AND(Boiler!B6,"AAAAAGvv7p0=")</f>
        <v>#VALUE!</v>
      </c>
      <c r="FC25" t="e">
        <f>AND(Boiler!C6,"AAAAAGvv7p4=")</f>
        <v>#VALUE!</v>
      </c>
      <c r="FD25" t="e">
        <f>AND(Boiler!D6,"AAAAAGvv7p8=")</f>
        <v>#VALUE!</v>
      </c>
      <c r="FE25" t="e">
        <f>AND(Boiler!E6,"AAAAAGvv7qA=")</f>
        <v>#VALUE!</v>
      </c>
      <c r="FF25" t="e">
        <f>AND(Boiler!F6,"AAAAAGvv7qE=")</f>
        <v>#VALUE!</v>
      </c>
      <c r="FG25" t="e">
        <f>AND(Boiler!G6,"AAAAAGvv7qI=")</f>
        <v>#VALUE!</v>
      </c>
      <c r="FH25" t="e">
        <f>AND(Boiler!H6,"AAAAAGvv7qM=")</f>
        <v>#VALUE!</v>
      </c>
      <c r="FI25" t="e">
        <f>AND(Boiler!#REF!,"AAAAAGvv7qQ=")</f>
        <v>#REF!</v>
      </c>
      <c r="FJ25" t="e">
        <f>AND(Boiler!J6,"AAAAAGvv7qU=")</f>
        <v>#VALUE!</v>
      </c>
      <c r="FK25" t="e">
        <f>AND(Boiler!K6,"AAAAAGvv7qY=")</f>
        <v>#VALUE!</v>
      </c>
      <c r="FL25" t="e">
        <f>AND(Boiler!L6,"AAAAAGvv7qc=")</f>
        <v>#VALUE!</v>
      </c>
      <c r="FM25" t="e">
        <f>AND(Boiler!M6,"AAAAAGvv7qg=")</f>
        <v>#VALUE!</v>
      </c>
      <c r="FN25" t="e">
        <f>AND(Boiler!N6,"AAAAAGvv7qk=")</f>
        <v>#VALUE!</v>
      </c>
      <c r="FO25" t="e">
        <f>AND(Boiler!O6,"AAAAAGvv7qo=")</f>
        <v>#VALUE!</v>
      </c>
      <c r="FP25">
        <f>IF(Boiler!10:10,"AAAAAGvv7qs=",0)</f>
        <v>0</v>
      </c>
      <c r="FQ25" t="e">
        <f>AND(Boiler!A10,"AAAAAGvv7qw=")</f>
        <v>#VALUE!</v>
      </c>
      <c r="FR25" t="e">
        <f>AND(Boiler!B10,"AAAAAGvv7q0=")</f>
        <v>#VALUE!</v>
      </c>
      <c r="FS25" t="e">
        <f>AND(Boiler!C10,"AAAAAGvv7q4=")</f>
        <v>#VALUE!</v>
      </c>
      <c r="FT25" t="e">
        <f>AND(Boiler!D10,"AAAAAGvv7q8=")</f>
        <v>#VALUE!</v>
      </c>
      <c r="FU25" t="e">
        <f>AND(Boiler!E10,"AAAAAGvv7rA=")</f>
        <v>#VALUE!</v>
      </c>
      <c r="FV25" t="e">
        <f>AND(Boiler!F10,"AAAAAGvv7rE=")</f>
        <v>#VALUE!</v>
      </c>
      <c r="FW25" t="e">
        <f>AND(Boiler!G10,"AAAAAGvv7rI=")</f>
        <v>#VALUE!</v>
      </c>
      <c r="FX25" t="e">
        <f>AND(Boiler!H10,"AAAAAGvv7rM=")</f>
        <v>#VALUE!</v>
      </c>
      <c r="FY25" t="e">
        <f>AND(Boiler!I10,"AAAAAGvv7rQ=")</f>
        <v>#VALUE!</v>
      </c>
      <c r="FZ25" t="e">
        <f>AND(Boiler!J10,"AAAAAGvv7rU=")</f>
        <v>#VALUE!</v>
      </c>
      <c r="GA25" t="e">
        <f>AND(Boiler!K10,"AAAAAGvv7rY=")</f>
        <v>#VALUE!</v>
      </c>
      <c r="GB25" t="e">
        <f>AND(Boiler!L10,"AAAAAGvv7rc=")</f>
        <v>#VALUE!</v>
      </c>
      <c r="GC25" t="e">
        <f>AND(Boiler!M10,"AAAAAGvv7rg=")</f>
        <v>#VALUE!</v>
      </c>
      <c r="GD25" t="e">
        <f>AND(Boiler!N10,"AAAAAGvv7rk=")</f>
        <v>#VALUE!</v>
      </c>
      <c r="GE25" t="e">
        <f>AND(Boiler!O10,"AAAAAGvv7ro=")</f>
        <v>#VALUE!</v>
      </c>
      <c r="GF25" t="e">
        <f>IF(Boiler!#REF!,"AAAAAGvv7rs=",0)</f>
        <v>#REF!</v>
      </c>
      <c r="GG25" t="e">
        <f>AND(Boiler!#REF!,"AAAAAGvv7rw=")</f>
        <v>#REF!</v>
      </c>
      <c r="GH25" t="e">
        <f>AND(Boiler!#REF!,"AAAAAGvv7r0=")</f>
        <v>#REF!</v>
      </c>
      <c r="GI25" t="e">
        <f>AND(Boiler!#REF!,"AAAAAGvv7r4=")</f>
        <v>#REF!</v>
      </c>
      <c r="GJ25" t="e">
        <f>AND(Boiler!#REF!,"AAAAAGvv7r8=")</f>
        <v>#REF!</v>
      </c>
      <c r="GK25" t="e">
        <f>AND(Boiler!#REF!,"AAAAAGvv7sA=")</f>
        <v>#REF!</v>
      </c>
      <c r="GL25" t="e">
        <f>AND(Boiler!#REF!,"AAAAAGvv7sE=")</f>
        <v>#REF!</v>
      </c>
      <c r="GM25" t="e">
        <f>AND(Boiler!#REF!,"AAAAAGvv7sI=")</f>
        <v>#REF!</v>
      </c>
      <c r="GN25" t="e">
        <f>AND(Boiler!#REF!,"AAAAAGvv7sM=")</f>
        <v>#REF!</v>
      </c>
      <c r="GO25" t="e">
        <f>AND(Boiler!#REF!,"AAAAAGvv7sQ=")</f>
        <v>#REF!</v>
      </c>
      <c r="GP25" t="e">
        <f>AND(Boiler!#REF!,"AAAAAGvv7sU=")</f>
        <v>#REF!</v>
      </c>
      <c r="GQ25" t="e">
        <f>AND(Boiler!#REF!,"AAAAAGvv7sY=")</f>
        <v>#REF!</v>
      </c>
      <c r="GR25" t="e">
        <f>AND(Boiler!#REF!,"AAAAAGvv7sc=")</f>
        <v>#REF!</v>
      </c>
      <c r="GS25" t="e">
        <f>AND(Boiler!#REF!,"AAAAAGvv7sg=")</f>
        <v>#REF!</v>
      </c>
      <c r="GT25" t="e">
        <f>AND(Boiler!#REF!,"AAAAAGvv7sk=")</f>
        <v>#REF!</v>
      </c>
      <c r="GU25" t="e">
        <f>AND(Boiler!#REF!,"AAAAAGvv7so=")</f>
        <v>#REF!</v>
      </c>
      <c r="GV25" t="e">
        <f>IF(Boiler!#REF!,"AAAAAGvv7ss=",0)</f>
        <v>#REF!</v>
      </c>
      <c r="GW25" t="e">
        <f>AND(Boiler!#REF!,"AAAAAGvv7sw=")</f>
        <v>#REF!</v>
      </c>
      <c r="GX25" t="e">
        <f>AND(Boiler!#REF!,"AAAAAGvv7s0=")</f>
        <v>#REF!</v>
      </c>
      <c r="GY25" t="e">
        <f>AND(Boiler!#REF!,"AAAAAGvv7s4=")</f>
        <v>#REF!</v>
      </c>
      <c r="GZ25" t="e">
        <f>AND(Boiler!#REF!,"AAAAAGvv7s8=")</f>
        <v>#REF!</v>
      </c>
      <c r="HA25" t="e">
        <f>AND(Boiler!#REF!,"AAAAAGvv7tA=")</f>
        <v>#REF!</v>
      </c>
      <c r="HB25" t="e">
        <f>AND(Boiler!#REF!,"AAAAAGvv7tE=")</f>
        <v>#REF!</v>
      </c>
      <c r="HC25" t="e">
        <f>AND(Boiler!#REF!,"AAAAAGvv7tI=")</f>
        <v>#REF!</v>
      </c>
      <c r="HD25" t="e">
        <f>AND(Boiler!#REF!,"AAAAAGvv7tM=")</f>
        <v>#REF!</v>
      </c>
      <c r="HE25" t="e">
        <f>AND(Boiler!#REF!,"AAAAAGvv7tQ=")</f>
        <v>#REF!</v>
      </c>
      <c r="HF25" t="e">
        <f>AND(Boiler!#REF!,"AAAAAGvv7tU=")</f>
        <v>#REF!</v>
      </c>
      <c r="HG25" t="e">
        <f>AND(Boiler!#REF!,"AAAAAGvv7tY=")</f>
        <v>#REF!</v>
      </c>
      <c r="HH25" t="e">
        <f>AND(Boiler!#REF!,"AAAAAGvv7tc=")</f>
        <v>#REF!</v>
      </c>
      <c r="HI25" t="e">
        <f>AND(Boiler!#REF!,"AAAAAGvv7tg=")</f>
        <v>#REF!</v>
      </c>
      <c r="HJ25" t="e">
        <f>AND(Boiler!#REF!,"AAAAAGvv7tk=")</f>
        <v>#REF!</v>
      </c>
      <c r="HK25" t="e">
        <f>AND(Boiler!#REF!,"AAAAAGvv7to=")</f>
        <v>#REF!</v>
      </c>
      <c r="HL25" t="e">
        <f>IF(Boiler!#REF!,"AAAAAGvv7ts=",0)</f>
        <v>#REF!</v>
      </c>
      <c r="HM25" t="e">
        <f>AND(Boiler!#REF!,"AAAAAGvv7tw=")</f>
        <v>#REF!</v>
      </c>
      <c r="HN25" t="e">
        <f>AND(Boiler!#REF!,"AAAAAGvv7t0=")</f>
        <v>#REF!</v>
      </c>
      <c r="HO25" t="e">
        <f>AND(Boiler!#REF!,"AAAAAGvv7t4=")</f>
        <v>#REF!</v>
      </c>
      <c r="HP25" t="e">
        <f>AND(Boiler!#REF!,"AAAAAGvv7t8=")</f>
        <v>#REF!</v>
      </c>
      <c r="HQ25" t="e">
        <f>AND(Boiler!#REF!,"AAAAAGvv7uA=")</f>
        <v>#REF!</v>
      </c>
      <c r="HR25" t="e">
        <f>AND(Boiler!#REF!,"AAAAAGvv7uE=")</f>
        <v>#REF!</v>
      </c>
      <c r="HS25" t="e">
        <f>AND(Boiler!#REF!,"AAAAAGvv7uI=")</f>
        <v>#REF!</v>
      </c>
      <c r="HT25" t="e">
        <f>AND(Boiler!#REF!,"AAAAAGvv7uM=")</f>
        <v>#REF!</v>
      </c>
      <c r="HU25" t="e">
        <f>AND(Boiler!#REF!,"AAAAAGvv7uQ=")</f>
        <v>#REF!</v>
      </c>
      <c r="HV25" t="e">
        <f>AND(Boiler!#REF!,"AAAAAGvv7uU=")</f>
        <v>#REF!</v>
      </c>
      <c r="HW25" t="e">
        <f>AND(Boiler!#REF!,"AAAAAGvv7uY=")</f>
        <v>#REF!</v>
      </c>
      <c r="HX25" t="e">
        <f>AND(Boiler!#REF!,"AAAAAGvv7uc=")</f>
        <v>#REF!</v>
      </c>
      <c r="HY25" t="e">
        <f>AND(Boiler!#REF!,"AAAAAGvv7ug=")</f>
        <v>#REF!</v>
      </c>
      <c r="HZ25" t="e">
        <f>AND(Boiler!#REF!,"AAAAAGvv7uk=")</f>
        <v>#REF!</v>
      </c>
      <c r="IA25" t="e">
        <f>AND(Boiler!#REF!,"AAAAAGvv7uo=")</f>
        <v>#REF!</v>
      </c>
      <c r="IB25" t="e">
        <f>IF(Boiler!#REF!,"AAAAAGvv7us=",0)</f>
        <v>#REF!</v>
      </c>
      <c r="IC25" t="e">
        <f>AND(Boiler!#REF!,"AAAAAGvv7uw=")</f>
        <v>#REF!</v>
      </c>
      <c r="ID25" t="e">
        <f>AND(Boiler!#REF!,"AAAAAGvv7u0=")</f>
        <v>#REF!</v>
      </c>
      <c r="IE25" t="e">
        <f>AND(Boiler!#REF!,"AAAAAGvv7u4=")</f>
        <v>#REF!</v>
      </c>
      <c r="IF25" t="e">
        <f>AND(Boiler!#REF!,"AAAAAGvv7u8=")</f>
        <v>#REF!</v>
      </c>
      <c r="IG25" t="e">
        <f>AND(Boiler!#REF!,"AAAAAGvv7vA=")</f>
        <v>#REF!</v>
      </c>
      <c r="IH25" t="e">
        <f>AND(Boiler!#REF!,"AAAAAGvv7vE=")</f>
        <v>#REF!</v>
      </c>
      <c r="II25" t="e">
        <f>AND(Boiler!#REF!,"AAAAAGvv7vI=")</f>
        <v>#REF!</v>
      </c>
      <c r="IJ25" t="e">
        <f>AND(Boiler!#REF!,"AAAAAGvv7vM=")</f>
        <v>#REF!</v>
      </c>
      <c r="IK25" t="e">
        <f>AND(Boiler!#REF!,"AAAAAGvv7vQ=")</f>
        <v>#REF!</v>
      </c>
      <c r="IL25" t="e">
        <f>AND(Boiler!#REF!,"AAAAAGvv7vU=")</f>
        <v>#REF!</v>
      </c>
      <c r="IM25" t="e">
        <f>AND(Boiler!#REF!,"AAAAAGvv7vY=")</f>
        <v>#REF!</v>
      </c>
      <c r="IN25" t="e">
        <f>AND(Boiler!#REF!,"AAAAAGvv7vc=")</f>
        <v>#REF!</v>
      </c>
      <c r="IO25" t="e">
        <f>AND(Boiler!#REF!,"AAAAAGvv7vg=")</f>
        <v>#REF!</v>
      </c>
      <c r="IP25" t="e">
        <f>AND(Boiler!#REF!,"AAAAAGvv7vk=")</f>
        <v>#REF!</v>
      </c>
      <c r="IQ25" t="e">
        <f>AND(Boiler!#REF!,"AAAAAGvv7vo=")</f>
        <v>#REF!</v>
      </c>
      <c r="IR25" t="e">
        <f>IF(Boiler!#REF!,"AAAAAGvv7vs=",0)</f>
        <v>#REF!</v>
      </c>
      <c r="IS25" t="e">
        <f>AND(Boiler!#REF!,"AAAAAGvv7vw=")</f>
        <v>#REF!</v>
      </c>
      <c r="IT25" t="e">
        <f>AND(Boiler!#REF!,"AAAAAGvv7v0=")</f>
        <v>#REF!</v>
      </c>
      <c r="IU25" t="e">
        <f>AND(Boiler!#REF!,"AAAAAGvv7v4=")</f>
        <v>#REF!</v>
      </c>
      <c r="IV25" t="e">
        <f>AND(Boiler!#REF!,"AAAAAGvv7v8=")</f>
        <v>#REF!</v>
      </c>
    </row>
    <row r="26" spans="1:256">
      <c r="A26" t="e">
        <f>AND(Boiler!#REF!,"AAAAAA9y+wA=")</f>
        <v>#REF!</v>
      </c>
      <c r="B26" t="e">
        <f>AND(Boiler!#REF!,"AAAAAA9y+wE=")</f>
        <v>#REF!</v>
      </c>
      <c r="C26" t="e">
        <f>AND(Boiler!#REF!,"AAAAAA9y+wI=")</f>
        <v>#REF!</v>
      </c>
      <c r="D26" t="e">
        <f>AND(Boiler!#REF!,"AAAAAA9y+wM=")</f>
        <v>#REF!</v>
      </c>
      <c r="E26" t="e">
        <f>AND(Boiler!#REF!,"AAAAAA9y+wQ=")</f>
        <v>#REF!</v>
      </c>
      <c r="F26" t="e">
        <f>AND(Boiler!#REF!,"AAAAAA9y+wU=")</f>
        <v>#REF!</v>
      </c>
      <c r="G26" t="e">
        <f>AND(Boiler!#REF!,"AAAAAA9y+wY=")</f>
        <v>#REF!</v>
      </c>
      <c r="H26" t="e">
        <f>AND(Boiler!#REF!,"AAAAAA9y+wc=")</f>
        <v>#REF!</v>
      </c>
      <c r="I26" t="e">
        <f>AND(Boiler!#REF!,"AAAAAA9y+wg=")</f>
        <v>#REF!</v>
      </c>
      <c r="J26" t="e">
        <f>AND(Boiler!#REF!,"AAAAAA9y+wk=")</f>
        <v>#REF!</v>
      </c>
      <c r="K26" t="e">
        <f>AND(Boiler!#REF!,"AAAAAA9y+wo=")</f>
        <v>#REF!</v>
      </c>
      <c r="L26" t="e">
        <f>IF(Boiler!#REF!,"AAAAAA9y+ws=",0)</f>
        <v>#REF!</v>
      </c>
      <c r="M26" t="e">
        <f>AND(Boiler!#REF!,"AAAAAA9y+ww=")</f>
        <v>#REF!</v>
      </c>
      <c r="N26" t="e">
        <f>AND(Boiler!#REF!,"AAAAAA9y+w0=")</f>
        <v>#REF!</v>
      </c>
      <c r="O26" t="e">
        <f>AND(Boiler!#REF!,"AAAAAA9y+w4=")</f>
        <v>#REF!</v>
      </c>
      <c r="P26" t="e">
        <f>AND(Boiler!#REF!,"AAAAAA9y+w8=")</f>
        <v>#REF!</v>
      </c>
      <c r="Q26" t="e">
        <f>AND(Boiler!#REF!,"AAAAAA9y+xA=")</f>
        <v>#REF!</v>
      </c>
      <c r="R26" t="e">
        <f>AND(Boiler!#REF!,"AAAAAA9y+xE=")</f>
        <v>#REF!</v>
      </c>
      <c r="S26" t="e">
        <f>AND(Boiler!#REF!,"AAAAAA9y+xI=")</f>
        <v>#REF!</v>
      </c>
      <c r="T26" t="e">
        <f>AND(Boiler!#REF!,"AAAAAA9y+xM=")</f>
        <v>#REF!</v>
      </c>
      <c r="U26" t="e">
        <f>AND(Boiler!#REF!,"AAAAAA9y+xQ=")</f>
        <v>#REF!</v>
      </c>
      <c r="V26" t="e">
        <f>AND(Boiler!#REF!,"AAAAAA9y+xU=")</f>
        <v>#REF!</v>
      </c>
      <c r="W26" t="e">
        <f>AND(Boiler!#REF!,"AAAAAA9y+xY=")</f>
        <v>#REF!</v>
      </c>
      <c r="X26" t="e">
        <f>AND(Boiler!#REF!,"AAAAAA9y+xc=")</f>
        <v>#REF!</v>
      </c>
      <c r="Y26" t="e">
        <f>AND(Boiler!#REF!,"AAAAAA9y+xg=")</f>
        <v>#REF!</v>
      </c>
      <c r="Z26" t="e">
        <f>AND(Boiler!#REF!,"AAAAAA9y+xk=")</f>
        <v>#REF!</v>
      </c>
      <c r="AA26" t="e">
        <f>AND(Boiler!#REF!,"AAAAAA9y+xo=")</f>
        <v>#REF!</v>
      </c>
      <c r="AB26" t="e">
        <f>IF(Boiler!#REF!,"AAAAAA9y+xs=",0)</f>
        <v>#REF!</v>
      </c>
      <c r="AC26" t="e">
        <f>AND(Boiler!#REF!,"AAAAAA9y+xw=")</f>
        <v>#REF!</v>
      </c>
      <c r="AD26" t="e">
        <f>AND(Boiler!#REF!,"AAAAAA9y+x0=")</f>
        <v>#REF!</v>
      </c>
      <c r="AE26" t="e">
        <f>AND(Boiler!#REF!,"AAAAAA9y+x4=")</f>
        <v>#REF!</v>
      </c>
      <c r="AF26" t="e">
        <f>AND(Boiler!#REF!,"AAAAAA9y+x8=")</f>
        <v>#REF!</v>
      </c>
      <c r="AG26" t="e">
        <f>AND(Boiler!#REF!,"AAAAAA9y+yA=")</f>
        <v>#REF!</v>
      </c>
      <c r="AH26" t="e">
        <f>AND(Boiler!#REF!,"AAAAAA9y+yE=")</f>
        <v>#REF!</v>
      </c>
      <c r="AI26" t="e">
        <f>AND(Boiler!#REF!,"AAAAAA9y+yI=")</f>
        <v>#REF!</v>
      </c>
      <c r="AJ26" t="e">
        <f>AND(Boiler!#REF!,"AAAAAA9y+yM=")</f>
        <v>#REF!</v>
      </c>
      <c r="AK26" t="e">
        <f>AND(Boiler!#REF!,"AAAAAA9y+yQ=")</f>
        <v>#REF!</v>
      </c>
      <c r="AL26" t="e">
        <f>AND(Boiler!#REF!,"AAAAAA9y+yU=")</f>
        <v>#REF!</v>
      </c>
      <c r="AM26" t="e">
        <f>AND(Boiler!#REF!,"AAAAAA9y+yY=")</f>
        <v>#REF!</v>
      </c>
      <c r="AN26" t="e">
        <f>AND(Boiler!#REF!,"AAAAAA9y+yc=")</f>
        <v>#REF!</v>
      </c>
      <c r="AO26" t="e">
        <f>AND(Boiler!#REF!,"AAAAAA9y+yg=")</f>
        <v>#REF!</v>
      </c>
      <c r="AP26" t="e">
        <f>AND(Boiler!#REF!,"AAAAAA9y+yk=")</f>
        <v>#REF!</v>
      </c>
      <c r="AQ26" t="e">
        <f>AND(Boiler!#REF!,"AAAAAA9y+yo=")</f>
        <v>#REF!</v>
      </c>
      <c r="AR26" t="e">
        <f>IF(Boiler!#REF!,"AAAAAA9y+ys=",0)</f>
        <v>#REF!</v>
      </c>
      <c r="AS26" t="e">
        <f>AND(Boiler!#REF!,"AAAAAA9y+yw=")</f>
        <v>#REF!</v>
      </c>
      <c r="AT26" t="e">
        <f>AND(Boiler!#REF!,"AAAAAA9y+y0=")</f>
        <v>#REF!</v>
      </c>
      <c r="AU26" t="e">
        <f>AND(Boiler!#REF!,"AAAAAA9y+y4=")</f>
        <v>#REF!</v>
      </c>
      <c r="AV26" t="e">
        <f>AND(Boiler!#REF!,"AAAAAA9y+y8=")</f>
        <v>#REF!</v>
      </c>
      <c r="AW26" t="e">
        <f>AND(Boiler!#REF!,"AAAAAA9y+zA=")</f>
        <v>#REF!</v>
      </c>
      <c r="AX26" t="e">
        <f>AND(Boiler!#REF!,"AAAAAA9y+zE=")</f>
        <v>#REF!</v>
      </c>
      <c r="AY26" t="e">
        <f>AND(Boiler!#REF!,"AAAAAA9y+zI=")</f>
        <v>#REF!</v>
      </c>
      <c r="AZ26" t="e">
        <f>AND(Boiler!#REF!,"AAAAAA9y+zM=")</f>
        <v>#REF!</v>
      </c>
      <c r="BA26" t="e">
        <f>AND(Boiler!#REF!,"AAAAAA9y+zQ=")</f>
        <v>#REF!</v>
      </c>
      <c r="BB26" t="e">
        <f>AND(Boiler!#REF!,"AAAAAA9y+zU=")</f>
        <v>#REF!</v>
      </c>
      <c r="BC26" t="e">
        <f>AND(Boiler!#REF!,"AAAAAA9y+zY=")</f>
        <v>#REF!</v>
      </c>
      <c r="BD26" t="e">
        <f>AND(Boiler!#REF!,"AAAAAA9y+zc=")</f>
        <v>#REF!</v>
      </c>
      <c r="BE26" t="e">
        <f>AND(Boiler!#REF!,"AAAAAA9y+zg=")</f>
        <v>#REF!</v>
      </c>
      <c r="BF26" t="e">
        <f>AND(Boiler!#REF!,"AAAAAA9y+zk=")</f>
        <v>#REF!</v>
      </c>
      <c r="BG26" t="e">
        <f>AND(Boiler!#REF!,"AAAAAA9y+zo=")</f>
        <v>#REF!</v>
      </c>
      <c r="BH26" t="e">
        <f>IF(Boiler!#REF!,"AAAAAA9y+zs=",0)</f>
        <v>#REF!</v>
      </c>
      <c r="BI26" t="e">
        <f>AND(Boiler!#REF!,"AAAAAA9y+zw=")</f>
        <v>#REF!</v>
      </c>
      <c r="BJ26" t="e">
        <f>AND(Boiler!#REF!,"AAAAAA9y+z0=")</f>
        <v>#REF!</v>
      </c>
      <c r="BK26" t="e">
        <f>AND(Boiler!#REF!,"AAAAAA9y+z4=")</f>
        <v>#REF!</v>
      </c>
      <c r="BL26" t="e">
        <f>AND(Boiler!#REF!,"AAAAAA9y+z8=")</f>
        <v>#REF!</v>
      </c>
      <c r="BM26" t="e">
        <f>AND(Boiler!#REF!,"AAAAAA9y+0A=")</f>
        <v>#REF!</v>
      </c>
      <c r="BN26" t="e">
        <f>AND(Boiler!#REF!,"AAAAAA9y+0E=")</f>
        <v>#REF!</v>
      </c>
      <c r="BO26" t="e">
        <f>AND(Boiler!#REF!,"AAAAAA9y+0I=")</f>
        <v>#REF!</v>
      </c>
      <c r="BP26" t="e">
        <f>AND(Boiler!#REF!,"AAAAAA9y+0M=")</f>
        <v>#REF!</v>
      </c>
      <c r="BQ26" t="e">
        <f>AND(Boiler!#REF!,"AAAAAA9y+0Q=")</f>
        <v>#REF!</v>
      </c>
      <c r="BR26" t="e">
        <f>AND(Boiler!#REF!,"AAAAAA9y+0U=")</f>
        <v>#REF!</v>
      </c>
      <c r="BS26" t="e">
        <f>AND(Boiler!#REF!,"AAAAAA9y+0Y=")</f>
        <v>#REF!</v>
      </c>
      <c r="BT26" t="e">
        <f>AND(Boiler!#REF!,"AAAAAA9y+0c=")</f>
        <v>#REF!</v>
      </c>
      <c r="BU26" t="e">
        <f>AND(Boiler!#REF!,"AAAAAA9y+0g=")</f>
        <v>#REF!</v>
      </c>
      <c r="BV26" t="e">
        <f>AND(Boiler!#REF!,"AAAAAA9y+0k=")</f>
        <v>#REF!</v>
      </c>
      <c r="BW26" t="e">
        <f>AND(Boiler!#REF!,"AAAAAA9y+0o=")</f>
        <v>#REF!</v>
      </c>
      <c r="BX26">
        <f>IF(Boiler!11:11,"AAAAAA9y+0s=",0)</f>
        <v>0</v>
      </c>
      <c r="BY26" t="e">
        <f>AND(Boiler!A11,"AAAAAA9y+0w=")</f>
        <v>#VALUE!</v>
      </c>
      <c r="BZ26" t="e">
        <f>AND(Boiler!B11,"AAAAAA9y+00=")</f>
        <v>#VALUE!</v>
      </c>
      <c r="CA26" t="e">
        <f>AND(Boiler!C11,"AAAAAA9y+04=")</f>
        <v>#VALUE!</v>
      </c>
      <c r="CB26" t="e">
        <f>AND(Boiler!D11,"AAAAAA9y+08=")</f>
        <v>#VALUE!</v>
      </c>
      <c r="CC26" t="e">
        <f>AND(Boiler!E11,"AAAAAA9y+1A=")</f>
        <v>#VALUE!</v>
      </c>
      <c r="CD26" t="e">
        <f>AND(Boiler!F11,"AAAAAA9y+1E=")</f>
        <v>#VALUE!</v>
      </c>
      <c r="CE26" t="e">
        <f>AND(Boiler!G11,"AAAAAA9y+1I=")</f>
        <v>#VALUE!</v>
      </c>
      <c r="CF26" t="e">
        <f>AND(Boiler!H11,"AAAAAA9y+1M=")</f>
        <v>#VALUE!</v>
      </c>
      <c r="CG26" t="e">
        <f>AND(Boiler!I11,"AAAAAA9y+1Q=")</f>
        <v>#VALUE!</v>
      </c>
      <c r="CH26" t="e">
        <f>AND(Boiler!J11,"AAAAAA9y+1U=")</f>
        <v>#VALUE!</v>
      </c>
      <c r="CI26" t="e">
        <f>AND(Boiler!K11,"AAAAAA9y+1Y=")</f>
        <v>#VALUE!</v>
      </c>
      <c r="CJ26" t="e">
        <f>AND(Boiler!L11,"AAAAAA9y+1c=")</f>
        <v>#VALUE!</v>
      </c>
      <c r="CK26" t="e">
        <f>AND(Boiler!M11,"AAAAAA9y+1g=")</f>
        <v>#VALUE!</v>
      </c>
      <c r="CL26" t="e">
        <f>AND(Boiler!N11,"AAAAAA9y+1k=")</f>
        <v>#VALUE!</v>
      </c>
      <c r="CM26" t="e">
        <f>AND(Boiler!O11,"AAAAAA9y+1o=")</f>
        <v>#VALUE!</v>
      </c>
      <c r="CN26">
        <f>IF(Boiler!27:27,"AAAAAA9y+1s=",0)</f>
        <v>0</v>
      </c>
      <c r="CO26" t="e">
        <f>AND(Boiler!A27,"AAAAAA9y+1w=")</f>
        <v>#VALUE!</v>
      </c>
      <c r="CP26" t="e">
        <f>AND(Boiler!B27,"AAAAAA9y+10=")</f>
        <v>#VALUE!</v>
      </c>
      <c r="CQ26" t="e">
        <f>AND(Boiler!C27,"AAAAAA9y+14=")</f>
        <v>#VALUE!</v>
      </c>
      <c r="CR26" t="e">
        <f>AND(Boiler!D27,"AAAAAA9y+18=")</f>
        <v>#VALUE!</v>
      </c>
      <c r="CS26" t="e">
        <f>AND(Boiler!E27,"AAAAAA9y+2A=")</f>
        <v>#VALUE!</v>
      </c>
      <c r="CT26" t="e">
        <f>AND(Boiler!F27,"AAAAAA9y+2E=")</f>
        <v>#VALUE!</v>
      </c>
      <c r="CU26" t="e">
        <f>AND(Boiler!G27,"AAAAAA9y+2I=")</f>
        <v>#VALUE!</v>
      </c>
      <c r="CV26" t="e">
        <f>AND(Boiler!H27,"AAAAAA9y+2M=")</f>
        <v>#VALUE!</v>
      </c>
      <c r="CW26" t="e">
        <f>AND(Boiler!I27,"AAAAAA9y+2Q=")</f>
        <v>#VALUE!</v>
      </c>
      <c r="CX26" t="e">
        <f>AND(Boiler!J27,"AAAAAA9y+2U=")</f>
        <v>#VALUE!</v>
      </c>
      <c r="CY26" t="e">
        <f>AND(Boiler!K27,"AAAAAA9y+2Y=")</f>
        <v>#VALUE!</v>
      </c>
      <c r="CZ26" t="e">
        <f>AND(Boiler!L27,"AAAAAA9y+2c=")</f>
        <v>#VALUE!</v>
      </c>
      <c r="DA26" t="e">
        <f>AND(Boiler!M27,"AAAAAA9y+2g=")</f>
        <v>#VALUE!</v>
      </c>
      <c r="DB26" t="e">
        <f>AND(Boiler!N27,"AAAAAA9y+2k=")</f>
        <v>#VALUE!</v>
      </c>
      <c r="DC26" t="e">
        <f>AND(Boiler!O27,"AAAAAA9y+2o=")</f>
        <v>#VALUE!</v>
      </c>
      <c r="DD26" t="e">
        <f>IF(Boiler!#REF!,"AAAAAA9y+2s=",0)</f>
        <v>#REF!</v>
      </c>
      <c r="DE26" t="e">
        <f>AND(Boiler!#REF!,"AAAAAA9y+2w=")</f>
        <v>#REF!</v>
      </c>
      <c r="DF26" t="e">
        <f>AND(Boiler!#REF!,"AAAAAA9y+20=")</f>
        <v>#REF!</v>
      </c>
      <c r="DG26" t="e">
        <f>AND(Boiler!#REF!,"AAAAAA9y+24=")</f>
        <v>#REF!</v>
      </c>
      <c r="DH26" t="e">
        <f>AND(Boiler!#REF!,"AAAAAA9y+28=")</f>
        <v>#REF!</v>
      </c>
      <c r="DI26" t="e">
        <f>AND(Boiler!#REF!,"AAAAAA9y+3A=")</f>
        <v>#REF!</v>
      </c>
      <c r="DJ26" t="e">
        <f>AND(Boiler!#REF!,"AAAAAA9y+3E=")</f>
        <v>#REF!</v>
      </c>
      <c r="DK26" t="e">
        <f>AND(Boiler!#REF!,"AAAAAA9y+3I=")</f>
        <v>#REF!</v>
      </c>
      <c r="DL26" t="e">
        <f>AND(Boiler!#REF!,"AAAAAA9y+3M=")</f>
        <v>#REF!</v>
      </c>
      <c r="DM26" t="e">
        <f>AND(Boiler!#REF!,"AAAAAA9y+3Q=")</f>
        <v>#REF!</v>
      </c>
      <c r="DN26" t="e">
        <f>AND(Boiler!#REF!,"AAAAAA9y+3U=")</f>
        <v>#REF!</v>
      </c>
      <c r="DO26" t="e">
        <f>AND(Boiler!#REF!,"AAAAAA9y+3Y=")</f>
        <v>#REF!</v>
      </c>
      <c r="DP26" t="e">
        <f>AND(Boiler!#REF!,"AAAAAA9y+3c=")</f>
        <v>#REF!</v>
      </c>
      <c r="DQ26" t="e">
        <f>AND(Boiler!#REF!,"AAAAAA9y+3g=")</f>
        <v>#REF!</v>
      </c>
      <c r="DR26" t="e">
        <f>AND(Boiler!#REF!,"AAAAAA9y+3k=")</f>
        <v>#REF!</v>
      </c>
      <c r="DS26" t="e">
        <f>AND(Boiler!#REF!,"AAAAAA9y+3o=")</f>
        <v>#REF!</v>
      </c>
      <c r="DT26" t="e">
        <f>IF(Boiler!#REF!,"AAAAAA9y+3s=",0)</f>
        <v>#REF!</v>
      </c>
      <c r="DU26" t="e">
        <f>AND(Boiler!#REF!,"AAAAAA9y+3w=")</f>
        <v>#REF!</v>
      </c>
      <c r="DV26" t="e">
        <f>AND(Boiler!#REF!,"AAAAAA9y+30=")</f>
        <v>#REF!</v>
      </c>
      <c r="DW26" t="e">
        <f>AND(Boiler!#REF!,"AAAAAA9y+34=")</f>
        <v>#REF!</v>
      </c>
      <c r="DX26" t="e">
        <f>AND(Boiler!#REF!,"AAAAAA9y+38=")</f>
        <v>#REF!</v>
      </c>
      <c r="DY26" t="e">
        <f>AND(Boiler!#REF!,"AAAAAA9y+4A=")</f>
        <v>#REF!</v>
      </c>
      <c r="DZ26" t="e">
        <f>AND(Boiler!#REF!,"AAAAAA9y+4E=")</f>
        <v>#REF!</v>
      </c>
      <c r="EA26" t="e">
        <f>AND(Boiler!#REF!,"AAAAAA9y+4I=")</f>
        <v>#REF!</v>
      </c>
      <c r="EB26" t="e">
        <f>AND(Boiler!#REF!,"AAAAAA9y+4M=")</f>
        <v>#REF!</v>
      </c>
      <c r="EC26" t="e">
        <f>AND(Boiler!#REF!,"AAAAAA9y+4Q=")</f>
        <v>#REF!</v>
      </c>
      <c r="ED26" t="e">
        <f>AND(Boiler!#REF!,"AAAAAA9y+4U=")</f>
        <v>#REF!</v>
      </c>
      <c r="EE26" t="e">
        <f>AND(Boiler!#REF!,"AAAAAA9y+4Y=")</f>
        <v>#REF!</v>
      </c>
      <c r="EF26" t="e">
        <f>AND(Boiler!#REF!,"AAAAAA9y+4c=")</f>
        <v>#REF!</v>
      </c>
      <c r="EG26" t="e">
        <f>AND(Boiler!#REF!,"AAAAAA9y+4g=")</f>
        <v>#REF!</v>
      </c>
      <c r="EH26" t="e">
        <f>AND(Boiler!#REF!,"AAAAAA9y+4k=")</f>
        <v>#REF!</v>
      </c>
      <c r="EI26" t="e">
        <f>AND(Boiler!#REF!,"AAAAAA9y+4o=")</f>
        <v>#REF!</v>
      </c>
      <c r="EJ26" t="e">
        <f>IF(Boiler!#REF!,"AAAAAA9y+4s=",0)</f>
        <v>#REF!</v>
      </c>
      <c r="EK26" t="e">
        <f>AND(Boiler!#REF!,"AAAAAA9y+4w=")</f>
        <v>#REF!</v>
      </c>
      <c r="EL26" t="e">
        <f>AND(Boiler!#REF!,"AAAAAA9y+40=")</f>
        <v>#REF!</v>
      </c>
      <c r="EM26" t="e">
        <f>AND(Boiler!#REF!,"AAAAAA9y+44=")</f>
        <v>#REF!</v>
      </c>
      <c r="EN26" t="e">
        <f>AND(Boiler!#REF!,"AAAAAA9y+48=")</f>
        <v>#REF!</v>
      </c>
      <c r="EO26" t="e">
        <f>AND(Boiler!#REF!,"AAAAAA9y+5A=")</f>
        <v>#REF!</v>
      </c>
      <c r="EP26" t="e">
        <f>AND(Boiler!#REF!,"AAAAAA9y+5E=")</f>
        <v>#REF!</v>
      </c>
      <c r="EQ26" t="e">
        <f>AND(Boiler!#REF!,"AAAAAA9y+5I=")</f>
        <v>#REF!</v>
      </c>
      <c r="ER26" t="e">
        <f>AND(Boiler!#REF!,"AAAAAA9y+5M=")</f>
        <v>#REF!</v>
      </c>
      <c r="ES26" t="e">
        <f>AND(Boiler!#REF!,"AAAAAA9y+5Q=")</f>
        <v>#REF!</v>
      </c>
      <c r="ET26" t="e">
        <f>AND(Boiler!#REF!,"AAAAAA9y+5U=")</f>
        <v>#REF!</v>
      </c>
      <c r="EU26" t="e">
        <f>AND(Boiler!#REF!,"AAAAAA9y+5Y=")</f>
        <v>#REF!</v>
      </c>
      <c r="EV26" t="e">
        <f>AND(Boiler!#REF!,"AAAAAA9y+5c=")</f>
        <v>#REF!</v>
      </c>
      <c r="EW26" t="e">
        <f>AND(Boiler!#REF!,"AAAAAA9y+5g=")</f>
        <v>#REF!</v>
      </c>
      <c r="EX26" t="e">
        <f>AND(Boiler!#REF!,"AAAAAA9y+5k=")</f>
        <v>#REF!</v>
      </c>
      <c r="EY26" t="e">
        <f>AND(Boiler!#REF!,"AAAAAA9y+5o=")</f>
        <v>#REF!</v>
      </c>
      <c r="EZ26" t="e">
        <f>IF(Boiler!#REF!,"AAAAAA9y+5s=",0)</f>
        <v>#REF!</v>
      </c>
      <c r="FA26" t="e">
        <f>AND(Boiler!#REF!,"AAAAAA9y+5w=")</f>
        <v>#REF!</v>
      </c>
      <c r="FB26" t="e">
        <f>AND(Boiler!#REF!,"AAAAAA9y+50=")</f>
        <v>#REF!</v>
      </c>
      <c r="FC26" t="e">
        <f>AND(Boiler!#REF!,"AAAAAA9y+54=")</f>
        <v>#REF!</v>
      </c>
      <c r="FD26" t="e">
        <f>AND(Boiler!#REF!,"AAAAAA9y+58=")</f>
        <v>#REF!</v>
      </c>
      <c r="FE26" t="e">
        <f>AND(Boiler!#REF!,"AAAAAA9y+6A=")</f>
        <v>#REF!</v>
      </c>
      <c r="FF26" t="e">
        <f>AND(Boiler!#REF!,"AAAAAA9y+6E=")</f>
        <v>#REF!</v>
      </c>
      <c r="FG26" t="e">
        <f>AND(Boiler!#REF!,"AAAAAA9y+6I=")</f>
        <v>#REF!</v>
      </c>
      <c r="FH26" t="e">
        <f>AND(Boiler!#REF!,"AAAAAA9y+6M=")</f>
        <v>#REF!</v>
      </c>
      <c r="FI26" t="e">
        <f>AND(Boiler!#REF!,"AAAAAA9y+6Q=")</f>
        <v>#REF!</v>
      </c>
      <c r="FJ26" t="e">
        <f>AND(Boiler!#REF!,"AAAAAA9y+6U=")</f>
        <v>#REF!</v>
      </c>
      <c r="FK26" t="e">
        <f>AND(Boiler!#REF!,"AAAAAA9y+6Y=")</f>
        <v>#REF!</v>
      </c>
      <c r="FL26" t="e">
        <f>AND(Boiler!#REF!,"AAAAAA9y+6c=")</f>
        <v>#REF!</v>
      </c>
      <c r="FM26" t="e">
        <f>AND(Boiler!#REF!,"AAAAAA9y+6g=")</f>
        <v>#REF!</v>
      </c>
      <c r="FN26" t="e">
        <f>AND(Boiler!#REF!,"AAAAAA9y+6k=")</f>
        <v>#REF!</v>
      </c>
      <c r="FO26" t="e">
        <f>AND(Boiler!#REF!,"AAAAAA9y+6o=")</f>
        <v>#REF!</v>
      </c>
      <c r="FP26" t="e">
        <f>IF(Boiler!#REF!,"AAAAAA9y+6s=",0)</f>
        <v>#REF!</v>
      </c>
      <c r="FQ26" t="e">
        <f>AND(Boiler!#REF!,"AAAAAA9y+6w=")</f>
        <v>#REF!</v>
      </c>
      <c r="FR26" t="e">
        <f>AND(Boiler!#REF!,"AAAAAA9y+60=")</f>
        <v>#REF!</v>
      </c>
      <c r="FS26" t="e">
        <f>AND(Boiler!#REF!,"AAAAAA9y+64=")</f>
        <v>#REF!</v>
      </c>
      <c r="FT26" t="e">
        <f>AND(Boiler!#REF!,"AAAAAA9y+68=")</f>
        <v>#REF!</v>
      </c>
      <c r="FU26" t="e">
        <f>AND(Boiler!#REF!,"AAAAAA9y+7A=")</f>
        <v>#REF!</v>
      </c>
      <c r="FV26" t="e">
        <f>AND(Boiler!#REF!,"AAAAAA9y+7E=")</f>
        <v>#REF!</v>
      </c>
      <c r="FW26" t="e">
        <f>AND(Boiler!#REF!,"AAAAAA9y+7I=")</f>
        <v>#REF!</v>
      </c>
      <c r="FX26" t="e">
        <f>AND(Boiler!#REF!,"AAAAAA9y+7M=")</f>
        <v>#REF!</v>
      </c>
      <c r="FY26" t="e">
        <f>AND(Boiler!#REF!,"AAAAAA9y+7Q=")</f>
        <v>#REF!</v>
      </c>
      <c r="FZ26" t="e">
        <f>AND(Boiler!#REF!,"AAAAAA9y+7U=")</f>
        <v>#REF!</v>
      </c>
      <c r="GA26" t="e">
        <f>AND(Boiler!#REF!,"AAAAAA9y+7Y=")</f>
        <v>#REF!</v>
      </c>
      <c r="GB26" t="e">
        <f>AND(Boiler!#REF!,"AAAAAA9y+7c=")</f>
        <v>#REF!</v>
      </c>
      <c r="GC26" t="e">
        <f>AND(Boiler!#REF!,"AAAAAA9y+7g=")</f>
        <v>#REF!</v>
      </c>
      <c r="GD26" t="e">
        <f>AND(Boiler!#REF!,"AAAAAA9y+7k=")</f>
        <v>#REF!</v>
      </c>
      <c r="GE26" t="e">
        <f>AND(Boiler!#REF!,"AAAAAA9y+7o=")</f>
        <v>#REF!</v>
      </c>
      <c r="GF26" t="e">
        <f>IF(Boiler!#REF!,"AAAAAA9y+7s=",0)</f>
        <v>#REF!</v>
      </c>
      <c r="GG26" t="e">
        <f>AND(Boiler!#REF!,"AAAAAA9y+7w=")</f>
        <v>#REF!</v>
      </c>
      <c r="GH26" t="e">
        <f>AND(Boiler!#REF!,"AAAAAA9y+70=")</f>
        <v>#REF!</v>
      </c>
      <c r="GI26" t="e">
        <f>AND(Boiler!#REF!,"AAAAAA9y+74=")</f>
        <v>#REF!</v>
      </c>
      <c r="GJ26" t="e">
        <f>AND(Boiler!#REF!,"AAAAAA9y+78=")</f>
        <v>#REF!</v>
      </c>
      <c r="GK26" t="e">
        <f>AND(Boiler!#REF!,"AAAAAA9y+8A=")</f>
        <v>#REF!</v>
      </c>
      <c r="GL26" t="e">
        <f>AND(Boiler!#REF!,"AAAAAA9y+8E=")</f>
        <v>#REF!</v>
      </c>
      <c r="GM26" t="e">
        <f>AND(Boiler!#REF!,"AAAAAA9y+8I=")</f>
        <v>#REF!</v>
      </c>
      <c r="GN26" t="e">
        <f>AND(Boiler!#REF!,"AAAAAA9y+8M=")</f>
        <v>#REF!</v>
      </c>
      <c r="GO26" t="e">
        <f>AND(Boiler!#REF!,"AAAAAA9y+8Q=")</f>
        <v>#REF!</v>
      </c>
      <c r="GP26" t="e">
        <f>AND(Boiler!#REF!,"AAAAAA9y+8U=")</f>
        <v>#REF!</v>
      </c>
      <c r="GQ26" t="e">
        <f>AND(Boiler!#REF!,"AAAAAA9y+8Y=")</f>
        <v>#REF!</v>
      </c>
      <c r="GR26" t="e">
        <f>AND(Boiler!#REF!,"AAAAAA9y+8c=")</f>
        <v>#REF!</v>
      </c>
      <c r="GS26" t="e">
        <f>AND(Boiler!#REF!,"AAAAAA9y+8g=")</f>
        <v>#REF!</v>
      </c>
      <c r="GT26" t="e">
        <f>AND(Boiler!#REF!,"AAAAAA9y+8k=")</f>
        <v>#REF!</v>
      </c>
      <c r="GU26" t="e">
        <f>AND(Boiler!#REF!,"AAAAAA9y+8o=")</f>
        <v>#REF!</v>
      </c>
      <c r="GV26" t="e">
        <f>IF(Boiler!#REF!,"AAAAAA9y+8s=",0)</f>
        <v>#REF!</v>
      </c>
      <c r="GW26" t="e">
        <f>AND(Boiler!#REF!,"AAAAAA9y+8w=")</f>
        <v>#REF!</v>
      </c>
      <c r="GX26" t="e">
        <f>AND(Boiler!#REF!,"AAAAAA9y+80=")</f>
        <v>#REF!</v>
      </c>
      <c r="GY26" t="e">
        <f>AND(Boiler!#REF!,"AAAAAA9y+84=")</f>
        <v>#REF!</v>
      </c>
      <c r="GZ26" t="e">
        <f>AND(Boiler!#REF!,"AAAAAA9y+88=")</f>
        <v>#REF!</v>
      </c>
      <c r="HA26" t="e">
        <f>AND(Boiler!#REF!,"AAAAAA9y+9A=")</f>
        <v>#REF!</v>
      </c>
      <c r="HB26" t="e">
        <f>AND(Boiler!#REF!,"AAAAAA9y+9E=")</f>
        <v>#REF!</v>
      </c>
      <c r="HC26" t="e">
        <f>AND(Boiler!#REF!,"AAAAAA9y+9I=")</f>
        <v>#REF!</v>
      </c>
      <c r="HD26" t="e">
        <f>AND(Boiler!#REF!,"AAAAAA9y+9M=")</f>
        <v>#REF!</v>
      </c>
      <c r="HE26" t="e">
        <f>AND(Boiler!#REF!,"AAAAAA9y+9Q=")</f>
        <v>#REF!</v>
      </c>
      <c r="HF26" t="e">
        <f>AND(Boiler!#REF!,"AAAAAA9y+9U=")</f>
        <v>#REF!</v>
      </c>
      <c r="HG26" t="e">
        <f>AND(Boiler!#REF!,"AAAAAA9y+9Y=")</f>
        <v>#REF!</v>
      </c>
      <c r="HH26" t="e">
        <f>AND(Boiler!#REF!,"AAAAAA9y+9c=")</f>
        <v>#REF!</v>
      </c>
      <c r="HI26" t="e">
        <f>AND(Boiler!#REF!,"AAAAAA9y+9g=")</f>
        <v>#REF!</v>
      </c>
      <c r="HJ26" t="e">
        <f>AND(Boiler!#REF!,"AAAAAA9y+9k=")</f>
        <v>#REF!</v>
      </c>
      <c r="HK26" t="e">
        <f>AND(Boiler!#REF!,"AAAAAA9y+9o=")</f>
        <v>#REF!</v>
      </c>
      <c r="HL26" t="e">
        <f>IF(Boiler!#REF!,"AAAAAA9y+9s=",0)</f>
        <v>#REF!</v>
      </c>
      <c r="HM26" t="e">
        <f>AND(Boiler!#REF!,"AAAAAA9y+9w=")</f>
        <v>#REF!</v>
      </c>
      <c r="HN26" t="e">
        <f>AND(Boiler!#REF!,"AAAAAA9y+90=")</f>
        <v>#REF!</v>
      </c>
      <c r="HO26" t="e">
        <f>AND(Boiler!#REF!,"AAAAAA9y+94=")</f>
        <v>#REF!</v>
      </c>
      <c r="HP26" t="e">
        <f>AND(Boiler!#REF!,"AAAAAA9y+98=")</f>
        <v>#REF!</v>
      </c>
      <c r="HQ26" t="e">
        <f>AND(Boiler!#REF!,"AAAAAA9y++A=")</f>
        <v>#REF!</v>
      </c>
      <c r="HR26" t="e">
        <f>AND(Boiler!#REF!,"AAAAAA9y++E=")</f>
        <v>#REF!</v>
      </c>
      <c r="HS26" t="e">
        <f>AND(Boiler!#REF!,"AAAAAA9y++I=")</f>
        <v>#REF!</v>
      </c>
      <c r="HT26" t="e">
        <f>AND(Boiler!#REF!,"AAAAAA9y++M=")</f>
        <v>#REF!</v>
      </c>
      <c r="HU26" t="e">
        <f>AND(Boiler!#REF!,"AAAAAA9y++Q=")</f>
        <v>#REF!</v>
      </c>
      <c r="HV26" t="e">
        <f>AND(Boiler!#REF!,"AAAAAA9y++U=")</f>
        <v>#REF!</v>
      </c>
      <c r="HW26" t="e">
        <f>AND(Boiler!#REF!,"AAAAAA9y++Y=")</f>
        <v>#REF!</v>
      </c>
      <c r="HX26" t="e">
        <f>AND(Boiler!#REF!,"AAAAAA9y++c=")</f>
        <v>#REF!</v>
      </c>
      <c r="HY26" t="e">
        <f>AND(Boiler!#REF!,"AAAAAA9y++g=")</f>
        <v>#REF!</v>
      </c>
      <c r="HZ26" t="e">
        <f>AND(Boiler!#REF!,"AAAAAA9y++k=")</f>
        <v>#REF!</v>
      </c>
      <c r="IA26" t="e">
        <f>AND(Boiler!#REF!,"AAAAAA9y++o=")</f>
        <v>#REF!</v>
      </c>
      <c r="IB26" t="e">
        <f>IF(Boiler!#REF!,"AAAAAA9y++s=",0)</f>
        <v>#REF!</v>
      </c>
      <c r="IC26" t="e">
        <f>AND(Boiler!#REF!,"AAAAAA9y++w=")</f>
        <v>#REF!</v>
      </c>
      <c r="ID26" t="e">
        <f>AND(Boiler!#REF!,"AAAAAA9y++0=")</f>
        <v>#REF!</v>
      </c>
      <c r="IE26" t="e">
        <f>AND(Boiler!#REF!,"AAAAAA9y++4=")</f>
        <v>#REF!</v>
      </c>
      <c r="IF26" t="e">
        <f>AND(Boiler!#REF!,"AAAAAA9y++8=")</f>
        <v>#REF!</v>
      </c>
      <c r="IG26" t="e">
        <f>AND(Boiler!#REF!,"AAAAAA9y+/A=")</f>
        <v>#REF!</v>
      </c>
      <c r="IH26" t="e">
        <f>AND(Boiler!#REF!,"AAAAAA9y+/E=")</f>
        <v>#REF!</v>
      </c>
      <c r="II26" t="e">
        <f>AND(Boiler!#REF!,"AAAAAA9y+/I=")</f>
        <v>#REF!</v>
      </c>
      <c r="IJ26" t="e">
        <f>AND(Boiler!#REF!,"AAAAAA9y+/M=")</f>
        <v>#REF!</v>
      </c>
      <c r="IK26" t="e">
        <f>AND(Boiler!#REF!,"AAAAAA9y+/Q=")</f>
        <v>#REF!</v>
      </c>
      <c r="IL26" t="e">
        <f>AND(Boiler!#REF!,"AAAAAA9y+/U=")</f>
        <v>#REF!</v>
      </c>
      <c r="IM26" t="e">
        <f>AND(Boiler!#REF!,"AAAAAA9y+/Y=")</f>
        <v>#REF!</v>
      </c>
      <c r="IN26" t="e">
        <f>AND(Boiler!#REF!,"AAAAAA9y+/c=")</f>
        <v>#REF!</v>
      </c>
      <c r="IO26" t="e">
        <f>AND(Boiler!#REF!,"AAAAAA9y+/g=")</f>
        <v>#REF!</v>
      </c>
      <c r="IP26" t="e">
        <f>AND(Boiler!#REF!,"AAAAAA9y+/k=")</f>
        <v>#REF!</v>
      </c>
      <c r="IQ26" t="e">
        <f>AND(Boiler!#REF!,"AAAAAA9y+/o=")</f>
        <v>#REF!</v>
      </c>
      <c r="IR26" t="e">
        <f>IF(Boiler!#REF!,"AAAAAA9y+/s=",0)</f>
        <v>#REF!</v>
      </c>
      <c r="IS26" t="e">
        <f>AND(Boiler!#REF!,"AAAAAA9y+/w=")</f>
        <v>#REF!</v>
      </c>
      <c r="IT26" t="e">
        <f>AND(Boiler!#REF!,"AAAAAA9y+/0=")</f>
        <v>#REF!</v>
      </c>
      <c r="IU26" t="e">
        <f>AND(Boiler!#REF!,"AAAAAA9y+/4=")</f>
        <v>#REF!</v>
      </c>
      <c r="IV26" t="e">
        <f>AND(Boiler!#REF!,"AAAAAA9y+/8=")</f>
        <v>#REF!</v>
      </c>
    </row>
    <row r="27" spans="1:256">
      <c r="A27" t="e">
        <f>AND(Boiler!#REF!,"AAAAAHE53wA=")</f>
        <v>#REF!</v>
      </c>
      <c r="B27" t="e">
        <f>AND(Boiler!#REF!,"AAAAAHE53wE=")</f>
        <v>#REF!</v>
      </c>
      <c r="C27" t="e">
        <f>AND(Boiler!#REF!,"AAAAAHE53wI=")</f>
        <v>#REF!</v>
      </c>
      <c r="D27" t="e">
        <f>AND(Boiler!#REF!,"AAAAAHE53wM=")</f>
        <v>#REF!</v>
      </c>
      <c r="E27" t="e">
        <f>AND(Boiler!#REF!,"AAAAAHE53wQ=")</f>
        <v>#REF!</v>
      </c>
      <c r="F27" t="e">
        <f>AND(Boiler!#REF!,"AAAAAHE53wU=")</f>
        <v>#REF!</v>
      </c>
      <c r="G27" t="e">
        <f>AND(Boiler!#REF!,"AAAAAHE53wY=")</f>
        <v>#REF!</v>
      </c>
      <c r="H27" t="e">
        <f>AND(Boiler!#REF!,"AAAAAHE53wc=")</f>
        <v>#REF!</v>
      </c>
      <c r="I27" t="e">
        <f>AND(Boiler!#REF!,"AAAAAHE53wg=")</f>
        <v>#REF!</v>
      </c>
      <c r="J27" t="e">
        <f>AND(Boiler!#REF!,"AAAAAHE53wk=")</f>
        <v>#REF!</v>
      </c>
      <c r="K27" t="e">
        <f>AND(Boiler!#REF!,"AAAAAHE53wo=")</f>
        <v>#REF!</v>
      </c>
      <c r="L27" t="e">
        <f>IF(Boiler!#REF!,"AAAAAHE53ws=",0)</f>
        <v>#REF!</v>
      </c>
      <c r="M27" t="e">
        <f>AND(Boiler!#REF!,"AAAAAHE53ww=")</f>
        <v>#REF!</v>
      </c>
      <c r="N27" t="e">
        <f>AND(Boiler!#REF!,"AAAAAHE53w0=")</f>
        <v>#REF!</v>
      </c>
      <c r="O27" t="e">
        <f>AND(Boiler!#REF!,"AAAAAHE53w4=")</f>
        <v>#REF!</v>
      </c>
      <c r="P27" t="e">
        <f>AND(Boiler!#REF!,"AAAAAHE53w8=")</f>
        <v>#REF!</v>
      </c>
      <c r="Q27" t="e">
        <f>AND(Boiler!#REF!,"AAAAAHE53xA=")</f>
        <v>#REF!</v>
      </c>
      <c r="R27" t="e">
        <f>AND(Boiler!#REF!,"AAAAAHE53xE=")</f>
        <v>#REF!</v>
      </c>
      <c r="S27" t="e">
        <f>AND(Boiler!#REF!,"AAAAAHE53xI=")</f>
        <v>#REF!</v>
      </c>
      <c r="T27" t="e">
        <f>AND(Boiler!#REF!,"AAAAAHE53xM=")</f>
        <v>#REF!</v>
      </c>
      <c r="U27" t="e">
        <f>AND(Boiler!#REF!,"AAAAAHE53xQ=")</f>
        <v>#REF!</v>
      </c>
      <c r="V27" t="e">
        <f>AND(Boiler!#REF!,"AAAAAHE53xU=")</f>
        <v>#REF!</v>
      </c>
      <c r="W27" t="e">
        <f>AND(Boiler!#REF!,"AAAAAHE53xY=")</f>
        <v>#REF!</v>
      </c>
      <c r="X27" t="e">
        <f>AND(Boiler!#REF!,"AAAAAHE53xc=")</f>
        <v>#REF!</v>
      </c>
      <c r="Y27" t="e">
        <f>AND(Boiler!#REF!,"AAAAAHE53xg=")</f>
        <v>#REF!</v>
      </c>
      <c r="Z27" t="e">
        <f>AND(Boiler!#REF!,"AAAAAHE53xk=")</f>
        <v>#REF!</v>
      </c>
      <c r="AA27" t="e">
        <f>AND(Boiler!#REF!,"AAAAAHE53xo=")</f>
        <v>#REF!</v>
      </c>
      <c r="AB27" t="e">
        <f>IF(Boiler!#REF!,"AAAAAHE53xs=",0)</f>
        <v>#REF!</v>
      </c>
      <c r="AC27" t="e">
        <f>AND(Boiler!#REF!,"AAAAAHE53xw=")</f>
        <v>#REF!</v>
      </c>
      <c r="AD27" t="e">
        <f>AND(Boiler!#REF!,"AAAAAHE53x0=")</f>
        <v>#REF!</v>
      </c>
      <c r="AE27" t="e">
        <f>AND(Boiler!#REF!,"AAAAAHE53x4=")</f>
        <v>#REF!</v>
      </c>
      <c r="AF27" t="e">
        <f>AND(Boiler!#REF!,"AAAAAHE53x8=")</f>
        <v>#REF!</v>
      </c>
      <c r="AG27" t="e">
        <f>AND(Boiler!#REF!,"AAAAAHE53yA=")</f>
        <v>#REF!</v>
      </c>
      <c r="AH27" t="e">
        <f>AND(Boiler!#REF!,"AAAAAHE53yE=")</f>
        <v>#REF!</v>
      </c>
      <c r="AI27" t="e">
        <f>AND(Boiler!#REF!,"AAAAAHE53yI=")</f>
        <v>#REF!</v>
      </c>
      <c r="AJ27" t="e">
        <f>AND(Boiler!#REF!,"AAAAAHE53yM=")</f>
        <v>#REF!</v>
      </c>
      <c r="AK27" t="e">
        <f>AND(Boiler!#REF!,"AAAAAHE53yQ=")</f>
        <v>#REF!</v>
      </c>
      <c r="AL27" t="e">
        <f>AND(Boiler!#REF!,"AAAAAHE53yU=")</f>
        <v>#REF!</v>
      </c>
      <c r="AM27" t="e">
        <f>AND(Boiler!#REF!,"AAAAAHE53yY=")</f>
        <v>#REF!</v>
      </c>
      <c r="AN27" t="e">
        <f>AND(Boiler!#REF!,"AAAAAHE53yc=")</f>
        <v>#REF!</v>
      </c>
      <c r="AO27" t="e">
        <f>AND(Boiler!#REF!,"AAAAAHE53yg=")</f>
        <v>#REF!</v>
      </c>
      <c r="AP27" t="e">
        <f>AND(Boiler!#REF!,"AAAAAHE53yk=")</f>
        <v>#REF!</v>
      </c>
      <c r="AQ27" t="e">
        <f>AND(Boiler!#REF!,"AAAAAHE53yo=")</f>
        <v>#REF!</v>
      </c>
      <c r="AR27" t="e">
        <f>IF(Boiler!#REF!,"AAAAAHE53ys=",0)</f>
        <v>#REF!</v>
      </c>
      <c r="AS27" t="e">
        <f>AND(Boiler!#REF!,"AAAAAHE53yw=")</f>
        <v>#REF!</v>
      </c>
      <c r="AT27" t="e">
        <f>AND(Boiler!#REF!,"AAAAAHE53y0=")</f>
        <v>#REF!</v>
      </c>
      <c r="AU27" t="e">
        <f>AND(Boiler!#REF!,"AAAAAHE53y4=")</f>
        <v>#REF!</v>
      </c>
      <c r="AV27" t="e">
        <f>AND(Boiler!#REF!,"AAAAAHE53y8=")</f>
        <v>#REF!</v>
      </c>
      <c r="AW27" t="e">
        <f>AND(Boiler!#REF!,"AAAAAHE53zA=")</f>
        <v>#REF!</v>
      </c>
      <c r="AX27" t="e">
        <f>AND(Boiler!#REF!,"AAAAAHE53zE=")</f>
        <v>#REF!</v>
      </c>
      <c r="AY27" t="e">
        <f>AND(Boiler!#REF!,"AAAAAHE53zI=")</f>
        <v>#REF!</v>
      </c>
      <c r="AZ27" t="e">
        <f>AND(Boiler!#REF!,"AAAAAHE53zM=")</f>
        <v>#REF!</v>
      </c>
      <c r="BA27" t="e">
        <f>AND(Boiler!#REF!,"AAAAAHE53zQ=")</f>
        <v>#REF!</v>
      </c>
      <c r="BB27" t="e">
        <f>AND(Boiler!#REF!,"AAAAAHE53zU=")</f>
        <v>#REF!</v>
      </c>
      <c r="BC27" t="e">
        <f>AND(Boiler!#REF!,"AAAAAHE53zY=")</f>
        <v>#REF!</v>
      </c>
      <c r="BD27" t="e">
        <f>AND(Boiler!#REF!,"AAAAAHE53zc=")</f>
        <v>#REF!</v>
      </c>
      <c r="BE27" t="e">
        <f>AND(Boiler!#REF!,"AAAAAHE53zg=")</f>
        <v>#REF!</v>
      </c>
      <c r="BF27" t="e">
        <f>AND(Boiler!#REF!,"AAAAAHE53zk=")</f>
        <v>#REF!</v>
      </c>
      <c r="BG27" t="e">
        <f>AND(Boiler!#REF!,"AAAAAHE53zo=")</f>
        <v>#REF!</v>
      </c>
      <c r="BH27" t="e">
        <f>IF(Boiler!#REF!,"AAAAAHE53zs=",0)</f>
        <v>#REF!</v>
      </c>
      <c r="BI27" t="e">
        <f>AND(Boiler!#REF!,"AAAAAHE53zw=")</f>
        <v>#REF!</v>
      </c>
      <c r="BJ27" t="e">
        <f>AND(Boiler!#REF!,"AAAAAHE53z0=")</f>
        <v>#REF!</v>
      </c>
      <c r="BK27" t="e">
        <f>AND(Boiler!#REF!,"AAAAAHE53z4=")</f>
        <v>#REF!</v>
      </c>
      <c r="BL27" t="e">
        <f>AND(Boiler!#REF!,"AAAAAHE53z8=")</f>
        <v>#REF!</v>
      </c>
      <c r="BM27" t="e">
        <f>AND(Boiler!#REF!,"AAAAAHE530A=")</f>
        <v>#REF!</v>
      </c>
      <c r="BN27" t="e">
        <f>AND(Boiler!#REF!,"AAAAAHE530E=")</f>
        <v>#REF!</v>
      </c>
      <c r="BO27" t="e">
        <f>AND(Boiler!#REF!,"AAAAAHE530I=")</f>
        <v>#REF!</v>
      </c>
      <c r="BP27" t="e">
        <f>AND(Boiler!#REF!,"AAAAAHE530M=")</f>
        <v>#REF!</v>
      </c>
      <c r="BQ27" t="e">
        <f>AND(Boiler!#REF!,"AAAAAHE530Q=")</f>
        <v>#REF!</v>
      </c>
      <c r="BR27" t="e">
        <f>AND(Boiler!#REF!,"AAAAAHE530U=")</f>
        <v>#REF!</v>
      </c>
      <c r="BS27" t="e">
        <f>AND(Boiler!#REF!,"AAAAAHE530Y=")</f>
        <v>#REF!</v>
      </c>
      <c r="BT27" t="e">
        <f>AND(Boiler!#REF!,"AAAAAHE530c=")</f>
        <v>#REF!</v>
      </c>
      <c r="BU27" t="e">
        <f>AND(Boiler!#REF!,"AAAAAHE530g=")</f>
        <v>#REF!</v>
      </c>
      <c r="BV27" t="e">
        <f>AND(Boiler!#REF!,"AAAAAHE530k=")</f>
        <v>#REF!</v>
      </c>
      <c r="BW27" t="e">
        <f>AND(Boiler!#REF!,"AAAAAHE530o=")</f>
        <v>#REF!</v>
      </c>
      <c r="BX27" t="e">
        <f>IF(Boiler!#REF!,"AAAAAHE530s=",0)</f>
        <v>#REF!</v>
      </c>
      <c r="BY27" t="e">
        <f>AND(Boiler!#REF!,"AAAAAHE530w=")</f>
        <v>#REF!</v>
      </c>
      <c r="BZ27" t="e">
        <f>AND(Boiler!#REF!,"AAAAAHE5300=")</f>
        <v>#REF!</v>
      </c>
      <c r="CA27" t="e">
        <f>AND(Boiler!#REF!,"AAAAAHE5304=")</f>
        <v>#REF!</v>
      </c>
      <c r="CB27" t="e">
        <f>AND(Boiler!#REF!,"AAAAAHE5308=")</f>
        <v>#REF!</v>
      </c>
      <c r="CC27" t="e">
        <f>AND(Boiler!#REF!,"AAAAAHE531A=")</f>
        <v>#REF!</v>
      </c>
      <c r="CD27" t="e">
        <f>AND(Boiler!#REF!,"AAAAAHE531E=")</f>
        <v>#REF!</v>
      </c>
      <c r="CE27" t="e">
        <f>AND(Boiler!#REF!,"AAAAAHE531I=")</f>
        <v>#REF!</v>
      </c>
      <c r="CF27" t="e">
        <f>AND(Boiler!#REF!,"AAAAAHE531M=")</f>
        <v>#REF!</v>
      </c>
      <c r="CG27" t="e">
        <f>AND(Boiler!#REF!,"AAAAAHE531Q=")</f>
        <v>#REF!</v>
      </c>
      <c r="CH27" t="e">
        <f>AND(Boiler!#REF!,"AAAAAHE531U=")</f>
        <v>#REF!</v>
      </c>
      <c r="CI27" t="e">
        <f>AND(Boiler!#REF!,"AAAAAHE531Y=")</f>
        <v>#REF!</v>
      </c>
      <c r="CJ27" t="e">
        <f>AND(Boiler!#REF!,"AAAAAHE531c=")</f>
        <v>#REF!</v>
      </c>
      <c r="CK27" t="e">
        <f>AND(Boiler!#REF!,"AAAAAHE531g=")</f>
        <v>#REF!</v>
      </c>
      <c r="CL27" t="e">
        <f>AND(Boiler!#REF!,"AAAAAHE531k=")</f>
        <v>#REF!</v>
      </c>
      <c r="CM27" t="e">
        <f>AND(Boiler!#REF!,"AAAAAHE531o=")</f>
        <v>#REF!</v>
      </c>
      <c r="CN27" t="e">
        <f>IF(Boiler!#REF!,"AAAAAHE531s=",0)</f>
        <v>#REF!</v>
      </c>
      <c r="CO27" t="e">
        <f>AND(Boiler!#REF!,"AAAAAHE531w=")</f>
        <v>#REF!</v>
      </c>
      <c r="CP27" t="e">
        <f>AND(Boiler!#REF!,"AAAAAHE5310=")</f>
        <v>#REF!</v>
      </c>
      <c r="CQ27" t="e">
        <f>AND(Boiler!#REF!,"AAAAAHE5314=")</f>
        <v>#REF!</v>
      </c>
      <c r="CR27" t="e">
        <f>AND(Boiler!#REF!,"AAAAAHE5318=")</f>
        <v>#REF!</v>
      </c>
      <c r="CS27" t="e">
        <f>AND(Boiler!#REF!,"AAAAAHE532A=")</f>
        <v>#REF!</v>
      </c>
      <c r="CT27" t="e">
        <f>AND(Boiler!#REF!,"AAAAAHE532E=")</f>
        <v>#REF!</v>
      </c>
      <c r="CU27" t="e">
        <f>AND(Boiler!#REF!,"AAAAAHE532I=")</f>
        <v>#REF!</v>
      </c>
      <c r="CV27" t="e">
        <f>AND(Boiler!#REF!,"AAAAAHE532M=")</f>
        <v>#REF!</v>
      </c>
      <c r="CW27" t="e">
        <f>AND(Boiler!#REF!,"AAAAAHE532Q=")</f>
        <v>#REF!</v>
      </c>
      <c r="CX27" t="e">
        <f>AND(Boiler!#REF!,"AAAAAHE532U=")</f>
        <v>#REF!</v>
      </c>
      <c r="CY27" t="e">
        <f>AND(Boiler!#REF!,"AAAAAHE532Y=")</f>
        <v>#REF!</v>
      </c>
      <c r="CZ27" t="e">
        <f>AND(Boiler!#REF!,"AAAAAHE532c=")</f>
        <v>#REF!</v>
      </c>
      <c r="DA27" t="e">
        <f>AND(Boiler!#REF!,"AAAAAHE532g=")</f>
        <v>#REF!</v>
      </c>
      <c r="DB27" t="e">
        <f>AND(Boiler!#REF!,"AAAAAHE532k=")</f>
        <v>#REF!</v>
      </c>
      <c r="DC27" t="e">
        <f>AND(Boiler!#REF!,"AAAAAHE532o=")</f>
        <v>#REF!</v>
      </c>
      <c r="DD27" t="e">
        <f>IF(Boiler!#REF!,"AAAAAHE532s=",0)</f>
        <v>#REF!</v>
      </c>
      <c r="DE27" t="e">
        <f>AND(Boiler!#REF!,"AAAAAHE532w=")</f>
        <v>#REF!</v>
      </c>
      <c r="DF27" t="e">
        <f>AND(Boiler!#REF!,"AAAAAHE5320=")</f>
        <v>#REF!</v>
      </c>
      <c r="DG27" t="e">
        <f>AND(Boiler!#REF!,"AAAAAHE5324=")</f>
        <v>#REF!</v>
      </c>
      <c r="DH27" t="e">
        <f>AND(Boiler!#REF!,"AAAAAHE5328=")</f>
        <v>#REF!</v>
      </c>
      <c r="DI27" t="e">
        <f>AND(Boiler!#REF!,"AAAAAHE533A=")</f>
        <v>#REF!</v>
      </c>
      <c r="DJ27" t="e">
        <f>AND(Boiler!#REF!,"AAAAAHE533E=")</f>
        <v>#REF!</v>
      </c>
      <c r="DK27" t="e">
        <f>AND(Boiler!#REF!,"AAAAAHE533I=")</f>
        <v>#REF!</v>
      </c>
      <c r="DL27" t="e">
        <f>AND(Boiler!#REF!,"AAAAAHE533M=")</f>
        <v>#REF!</v>
      </c>
      <c r="DM27" t="e">
        <f>AND(Boiler!#REF!,"AAAAAHE533Q=")</f>
        <v>#REF!</v>
      </c>
      <c r="DN27" t="e">
        <f>AND(Boiler!#REF!,"AAAAAHE533U=")</f>
        <v>#REF!</v>
      </c>
      <c r="DO27" t="e">
        <f>AND(Boiler!#REF!,"AAAAAHE533Y=")</f>
        <v>#REF!</v>
      </c>
      <c r="DP27" t="e">
        <f>AND(Boiler!#REF!,"AAAAAHE533c=")</f>
        <v>#REF!</v>
      </c>
      <c r="DQ27" t="e">
        <f>AND(Boiler!#REF!,"AAAAAHE533g=")</f>
        <v>#REF!</v>
      </c>
      <c r="DR27" t="e">
        <f>AND(Boiler!#REF!,"AAAAAHE533k=")</f>
        <v>#REF!</v>
      </c>
      <c r="DS27" t="e">
        <f>AND(Boiler!#REF!,"AAAAAHE533o=")</f>
        <v>#REF!</v>
      </c>
      <c r="DT27" t="e">
        <f>IF(Boiler!#REF!,"AAAAAHE533s=",0)</f>
        <v>#REF!</v>
      </c>
      <c r="DU27" t="e">
        <f>AND(Boiler!#REF!,"AAAAAHE533w=")</f>
        <v>#REF!</v>
      </c>
      <c r="DV27" t="e">
        <f>AND(Boiler!#REF!,"AAAAAHE5330=")</f>
        <v>#REF!</v>
      </c>
      <c r="DW27" t="e">
        <f>AND(Boiler!#REF!,"AAAAAHE5334=")</f>
        <v>#REF!</v>
      </c>
      <c r="DX27" t="e">
        <f>AND(Boiler!#REF!,"AAAAAHE5338=")</f>
        <v>#REF!</v>
      </c>
      <c r="DY27" t="e">
        <f>AND(Boiler!#REF!,"AAAAAHE534A=")</f>
        <v>#REF!</v>
      </c>
      <c r="DZ27" t="e">
        <f>AND(Boiler!#REF!,"AAAAAHE534E=")</f>
        <v>#REF!</v>
      </c>
      <c r="EA27" t="e">
        <f>AND(Boiler!#REF!,"AAAAAHE534I=")</f>
        <v>#REF!</v>
      </c>
      <c r="EB27" t="e">
        <f>AND(Boiler!#REF!,"AAAAAHE534M=")</f>
        <v>#REF!</v>
      </c>
      <c r="EC27" t="e">
        <f>AND(Boiler!#REF!,"AAAAAHE534Q=")</f>
        <v>#REF!</v>
      </c>
      <c r="ED27" t="e">
        <f>AND(Boiler!#REF!,"AAAAAHE534U=")</f>
        <v>#REF!</v>
      </c>
      <c r="EE27" t="e">
        <f>AND(Boiler!#REF!,"AAAAAHE534Y=")</f>
        <v>#REF!</v>
      </c>
      <c r="EF27" t="e">
        <f>AND(Boiler!#REF!,"AAAAAHE534c=")</f>
        <v>#REF!</v>
      </c>
      <c r="EG27" t="e">
        <f>AND(Boiler!#REF!,"AAAAAHE534g=")</f>
        <v>#REF!</v>
      </c>
      <c r="EH27" t="e">
        <f>AND(Boiler!#REF!,"AAAAAHE534k=")</f>
        <v>#REF!</v>
      </c>
      <c r="EI27" t="e">
        <f>AND(Boiler!#REF!,"AAAAAHE534o=")</f>
        <v>#REF!</v>
      </c>
      <c r="EJ27" t="e">
        <f>IF(Boiler!#REF!,"AAAAAHE534s=",0)</f>
        <v>#REF!</v>
      </c>
      <c r="EK27" t="e">
        <f>AND(Boiler!#REF!,"AAAAAHE534w=")</f>
        <v>#REF!</v>
      </c>
      <c r="EL27" t="e">
        <f>AND(Boiler!#REF!,"AAAAAHE5340=")</f>
        <v>#REF!</v>
      </c>
      <c r="EM27" t="e">
        <f>AND(Boiler!#REF!,"AAAAAHE5344=")</f>
        <v>#REF!</v>
      </c>
      <c r="EN27" t="e">
        <f>AND(Boiler!#REF!,"AAAAAHE5348=")</f>
        <v>#REF!</v>
      </c>
      <c r="EO27" t="e">
        <f>AND(Boiler!#REF!,"AAAAAHE535A=")</f>
        <v>#REF!</v>
      </c>
      <c r="EP27" t="e">
        <f>AND(Boiler!#REF!,"AAAAAHE535E=")</f>
        <v>#REF!</v>
      </c>
      <c r="EQ27" t="e">
        <f>AND(Boiler!#REF!,"AAAAAHE535I=")</f>
        <v>#REF!</v>
      </c>
      <c r="ER27" t="e">
        <f>AND(Boiler!#REF!,"AAAAAHE535M=")</f>
        <v>#REF!</v>
      </c>
      <c r="ES27" t="e">
        <f>AND(Boiler!#REF!,"AAAAAHE535Q=")</f>
        <v>#REF!</v>
      </c>
      <c r="ET27" t="e">
        <f>AND(Boiler!#REF!,"AAAAAHE535U=")</f>
        <v>#REF!</v>
      </c>
      <c r="EU27" t="e">
        <f>AND(Boiler!#REF!,"AAAAAHE535Y=")</f>
        <v>#REF!</v>
      </c>
      <c r="EV27" t="e">
        <f>AND(Boiler!#REF!,"AAAAAHE535c=")</f>
        <v>#REF!</v>
      </c>
      <c r="EW27" t="e">
        <f>AND(Boiler!#REF!,"AAAAAHE535g=")</f>
        <v>#REF!</v>
      </c>
      <c r="EX27" t="e">
        <f>AND(Boiler!#REF!,"AAAAAHE535k=")</f>
        <v>#REF!</v>
      </c>
      <c r="EY27" t="e">
        <f>AND(Boiler!#REF!,"AAAAAHE535o=")</f>
        <v>#REF!</v>
      </c>
      <c r="EZ27" t="e">
        <f>IF(Boiler!#REF!,"AAAAAHE535s=",0)</f>
        <v>#REF!</v>
      </c>
      <c r="FA27" t="e">
        <f>AND(Boiler!#REF!,"AAAAAHE535w=")</f>
        <v>#REF!</v>
      </c>
      <c r="FB27" t="e">
        <f>AND(Boiler!#REF!,"AAAAAHE5350=")</f>
        <v>#REF!</v>
      </c>
      <c r="FC27" t="e">
        <f>AND(Boiler!#REF!,"AAAAAHE5354=")</f>
        <v>#REF!</v>
      </c>
      <c r="FD27" t="e">
        <f>AND(Boiler!#REF!,"AAAAAHE5358=")</f>
        <v>#REF!</v>
      </c>
      <c r="FE27" t="e">
        <f>AND(Boiler!#REF!,"AAAAAHE536A=")</f>
        <v>#REF!</v>
      </c>
      <c r="FF27" t="e">
        <f>AND(Boiler!#REF!,"AAAAAHE536E=")</f>
        <v>#REF!</v>
      </c>
      <c r="FG27" t="e">
        <f>AND(Boiler!#REF!,"AAAAAHE536I=")</f>
        <v>#REF!</v>
      </c>
      <c r="FH27" t="e">
        <f>AND(Boiler!#REF!,"AAAAAHE536M=")</f>
        <v>#REF!</v>
      </c>
      <c r="FI27" t="e">
        <f>AND(Boiler!#REF!,"AAAAAHE536Q=")</f>
        <v>#REF!</v>
      </c>
      <c r="FJ27" t="e">
        <f>AND(Boiler!#REF!,"AAAAAHE536U=")</f>
        <v>#REF!</v>
      </c>
      <c r="FK27" t="e">
        <f>AND(Boiler!#REF!,"AAAAAHE536Y=")</f>
        <v>#REF!</v>
      </c>
      <c r="FL27" t="e">
        <f>AND(Boiler!#REF!,"AAAAAHE536c=")</f>
        <v>#REF!</v>
      </c>
      <c r="FM27" t="e">
        <f>AND(Boiler!#REF!,"AAAAAHE536g=")</f>
        <v>#REF!</v>
      </c>
      <c r="FN27" t="e">
        <f>AND(Boiler!#REF!,"AAAAAHE536k=")</f>
        <v>#REF!</v>
      </c>
      <c r="FO27" t="e">
        <f>AND(Boiler!#REF!,"AAAAAHE536o=")</f>
        <v>#REF!</v>
      </c>
      <c r="FP27" t="e">
        <f>IF(Boiler!#REF!,"AAAAAHE536s=",0)</f>
        <v>#REF!</v>
      </c>
      <c r="FQ27" t="e">
        <f>AND(Boiler!#REF!,"AAAAAHE536w=")</f>
        <v>#REF!</v>
      </c>
      <c r="FR27" t="e">
        <f>AND(Boiler!#REF!,"AAAAAHE5360=")</f>
        <v>#REF!</v>
      </c>
      <c r="FS27" t="e">
        <f>AND(Boiler!#REF!,"AAAAAHE5364=")</f>
        <v>#REF!</v>
      </c>
      <c r="FT27" t="e">
        <f>AND(Boiler!#REF!,"AAAAAHE5368=")</f>
        <v>#REF!</v>
      </c>
      <c r="FU27" t="e">
        <f>AND(Boiler!#REF!,"AAAAAHE537A=")</f>
        <v>#REF!</v>
      </c>
      <c r="FV27" t="e">
        <f>AND(Boiler!#REF!,"AAAAAHE537E=")</f>
        <v>#REF!</v>
      </c>
      <c r="FW27" t="e">
        <f>AND(Boiler!#REF!,"AAAAAHE537I=")</f>
        <v>#REF!</v>
      </c>
      <c r="FX27" t="e">
        <f>AND(Boiler!#REF!,"AAAAAHE537M=")</f>
        <v>#REF!</v>
      </c>
      <c r="FY27" t="e">
        <f>AND(Boiler!#REF!,"AAAAAHE537Q=")</f>
        <v>#REF!</v>
      </c>
      <c r="FZ27" t="e">
        <f>AND(Boiler!#REF!,"AAAAAHE537U=")</f>
        <v>#REF!</v>
      </c>
      <c r="GA27" t="e">
        <f>AND(Boiler!#REF!,"AAAAAHE537Y=")</f>
        <v>#REF!</v>
      </c>
      <c r="GB27" t="e">
        <f>AND(Boiler!#REF!,"AAAAAHE537c=")</f>
        <v>#REF!</v>
      </c>
      <c r="GC27" t="e">
        <f>AND(Boiler!#REF!,"AAAAAHE537g=")</f>
        <v>#REF!</v>
      </c>
      <c r="GD27" t="e">
        <f>AND(Boiler!#REF!,"AAAAAHE537k=")</f>
        <v>#REF!</v>
      </c>
      <c r="GE27" t="e">
        <f>AND(Boiler!#REF!,"AAAAAHE537o=")</f>
        <v>#REF!</v>
      </c>
      <c r="GF27" t="e">
        <f>IF(Boiler!#REF!,"AAAAAHE537s=",0)</f>
        <v>#REF!</v>
      </c>
      <c r="GG27" t="e">
        <f>AND(Boiler!#REF!,"AAAAAHE537w=")</f>
        <v>#REF!</v>
      </c>
      <c r="GH27" t="e">
        <f>AND(Boiler!#REF!,"AAAAAHE5370=")</f>
        <v>#REF!</v>
      </c>
      <c r="GI27" t="e">
        <f>AND(Boiler!#REF!,"AAAAAHE5374=")</f>
        <v>#REF!</v>
      </c>
      <c r="GJ27" t="e">
        <f>AND(Boiler!#REF!,"AAAAAHE5378=")</f>
        <v>#REF!</v>
      </c>
      <c r="GK27" t="e">
        <f>AND(Boiler!#REF!,"AAAAAHE538A=")</f>
        <v>#REF!</v>
      </c>
      <c r="GL27" t="e">
        <f>AND(Boiler!#REF!,"AAAAAHE538E=")</f>
        <v>#REF!</v>
      </c>
      <c r="GM27" t="e">
        <f>AND(Boiler!#REF!,"AAAAAHE538I=")</f>
        <v>#REF!</v>
      </c>
      <c r="GN27" t="e">
        <f>AND(Boiler!#REF!,"AAAAAHE538M=")</f>
        <v>#REF!</v>
      </c>
      <c r="GO27" t="e">
        <f>AND(Boiler!#REF!,"AAAAAHE538Q=")</f>
        <v>#REF!</v>
      </c>
      <c r="GP27" t="e">
        <f>AND(Boiler!#REF!,"AAAAAHE538U=")</f>
        <v>#REF!</v>
      </c>
      <c r="GQ27" t="e">
        <f>AND(Boiler!#REF!,"AAAAAHE538Y=")</f>
        <v>#REF!</v>
      </c>
      <c r="GR27" t="e">
        <f>AND(Boiler!#REF!,"AAAAAHE538c=")</f>
        <v>#REF!</v>
      </c>
      <c r="GS27" t="e">
        <f>AND(Boiler!#REF!,"AAAAAHE538g=")</f>
        <v>#REF!</v>
      </c>
      <c r="GT27" t="e">
        <f>AND(Boiler!#REF!,"AAAAAHE538k=")</f>
        <v>#REF!</v>
      </c>
      <c r="GU27" t="e">
        <f>AND(Boiler!#REF!,"AAAAAHE538o=")</f>
        <v>#REF!</v>
      </c>
      <c r="GV27" t="e">
        <f>IF(Boiler!#REF!,"AAAAAHE538s=",0)</f>
        <v>#REF!</v>
      </c>
      <c r="GW27" t="e">
        <f>AND(Boiler!#REF!,"AAAAAHE538w=")</f>
        <v>#REF!</v>
      </c>
      <c r="GX27" t="e">
        <f>AND(Boiler!#REF!,"AAAAAHE5380=")</f>
        <v>#REF!</v>
      </c>
      <c r="GY27" t="e">
        <f>AND(Boiler!#REF!,"AAAAAHE5384=")</f>
        <v>#REF!</v>
      </c>
      <c r="GZ27" t="e">
        <f>AND(Boiler!#REF!,"AAAAAHE5388=")</f>
        <v>#REF!</v>
      </c>
      <c r="HA27" t="e">
        <f>AND(Boiler!#REF!,"AAAAAHE539A=")</f>
        <v>#REF!</v>
      </c>
      <c r="HB27" t="e">
        <f>AND(Boiler!#REF!,"AAAAAHE539E=")</f>
        <v>#REF!</v>
      </c>
      <c r="HC27" t="e">
        <f>AND(Boiler!#REF!,"AAAAAHE539I=")</f>
        <v>#REF!</v>
      </c>
      <c r="HD27" t="e">
        <f>AND(Boiler!#REF!,"AAAAAHE539M=")</f>
        <v>#REF!</v>
      </c>
      <c r="HE27" t="e">
        <f>AND(Boiler!#REF!,"AAAAAHE539Q=")</f>
        <v>#REF!</v>
      </c>
      <c r="HF27" t="e">
        <f>AND(Boiler!#REF!,"AAAAAHE539U=")</f>
        <v>#REF!</v>
      </c>
      <c r="HG27" t="e">
        <f>AND(Boiler!#REF!,"AAAAAHE539Y=")</f>
        <v>#REF!</v>
      </c>
      <c r="HH27" t="e">
        <f>AND(Boiler!#REF!,"AAAAAHE539c=")</f>
        <v>#REF!</v>
      </c>
      <c r="HI27" t="e">
        <f>AND(Boiler!#REF!,"AAAAAHE539g=")</f>
        <v>#REF!</v>
      </c>
      <c r="HJ27" t="e">
        <f>AND(Boiler!#REF!,"AAAAAHE539k=")</f>
        <v>#REF!</v>
      </c>
      <c r="HK27" t="e">
        <f>AND(Boiler!#REF!,"AAAAAHE539o=")</f>
        <v>#REF!</v>
      </c>
      <c r="HL27" t="e">
        <f>IF(Boiler!#REF!,"AAAAAHE539s=",0)</f>
        <v>#REF!</v>
      </c>
      <c r="HM27" t="e">
        <f>AND(Boiler!#REF!,"AAAAAHE539w=")</f>
        <v>#REF!</v>
      </c>
      <c r="HN27" t="e">
        <f>AND(Boiler!#REF!,"AAAAAHE5390=")</f>
        <v>#REF!</v>
      </c>
      <c r="HO27" t="e">
        <f>AND(Boiler!#REF!,"AAAAAHE5394=")</f>
        <v>#REF!</v>
      </c>
      <c r="HP27" t="e">
        <f>AND(Boiler!#REF!,"AAAAAHE5398=")</f>
        <v>#REF!</v>
      </c>
      <c r="HQ27" t="e">
        <f>AND(Boiler!#REF!,"AAAAAHE53+A=")</f>
        <v>#REF!</v>
      </c>
      <c r="HR27" t="e">
        <f>AND(Boiler!#REF!,"AAAAAHE53+E=")</f>
        <v>#REF!</v>
      </c>
      <c r="HS27" t="e">
        <f>AND(Boiler!#REF!,"AAAAAHE53+I=")</f>
        <v>#REF!</v>
      </c>
      <c r="HT27" t="e">
        <f>AND(Boiler!#REF!,"AAAAAHE53+M=")</f>
        <v>#REF!</v>
      </c>
      <c r="HU27" t="e">
        <f>AND(Boiler!#REF!,"AAAAAHE53+Q=")</f>
        <v>#REF!</v>
      </c>
      <c r="HV27" t="e">
        <f>AND(Boiler!#REF!,"AAAAAHE53+U=")</f>
        <v>#REF!</v>
      </c>
      <c r="HW27" t="e">
        <f>AND(Boiler!#REF!,"AAAAAHE53+Y=")</f>
        <v>#REF!</v>
      </c>
      <c r="HX27" t="e">
        <f>AND(Boiler!#REF!,"AAAAAHE53+c=")</f>
        <v>#REF!</v>
      </c>
      <c r="HY27" t="e">
        <f>AND(Boiler!#REF!,"AAAAAHE53+g=")</f>
        <v>#REF!</v>
      </c>
      <c r="HZ27" t="e">
        <f>AND(Boiler!#REF!,"AAAAAHE53+k=")</f>
        <v>#REF!</v>
      </c>
      <c r="IA27" t="e">
        <f>AND(Boiler!#REF!,"AAAAAHE53+o=")</f>
        <v>#REF!</v>
      </c>
      <c r="IB27" t="e">
        <f>IF(Boiler!#REF!,"AAAAAHE53+s=",0)</f>
        <v>#REF!</v>
      </c>
      <c r="IC27" t="e">
        <f>AND(Boiler!#REF!,"AAAAAHE53+w=")</f>
        <v>#REF!</v>
      </c>
      <c r="ID27" t="e">
        <f>AND(Boiler!#REF!,"AAAAAHE53+0=")</f>
        <v>#REF!</v>
      </c>
      <c r="IE27" t="e">
        <f>AND(Boiler!#REF!,"AAAAAHE53+4=")</f>
        <v>#REF!</v>
      </c>
      <c r="IF27" t="e">
        <f>AND(Boiler!#REF!,"AAAAAHE53+8=")</f>
        <v>#REF!</v>
      </c>
      <c r="IG27" t="e">
        <f>AND(Boiler!#REF!,"AAAAAHE53/A=")</f>
        <v>#REF!</v>
      </c>
      <c r="IH27" t="e">
        <f>AND(Boiler!#REF!,"AAAAAHE53/E=")</f>
        <v>#REF!</v>
      </c>
      <c r="II27" t="e">
        <f>AND(Boiler!#REF!,"AAAAAHE53/I=")</f>
        <v>#REF!</v>
      </c>
      <c r="IJ27" t="e">
        <f>AND(Boiler!#REF!,"AAAAAHE53/M=")</f>
        <v>#REF!</v>
      </c>
      <c r="IK27" t="e">
        <f>AND(Boiler!#REF!,"AAAAAHE53/Q=")</f>
        <v>#REF!</v>
      </c>
      <c r="IL27" t="e">
        <f>AND(Boiler!#REF!,"AAAAAHE53/U=")</f>
        <v>#REF!</v>
      </c>
      <c r="IM27" t="e">
        <f>AND(Boiler!#REF!,"AAAAAHE53/Y=")</f>
        <v>#REF!</v>
      </c>
      <c r="IN27" t="e">
        <f>AND(Boiler!#REF!,"AAAAAHE53/c=")</f>
        <v>#REF!</v>
      </c>
      <c r="IO27" t="e">
        <f>AND(Boiler!#REF!,"AAAAAHE53/g=")</f>
        <v>#REF!</v>
      </c>
      <c r="IP27" t="e">
        <f>AND(Boiler!#REF!,"AAAAAHE53/k=")</f>
        <v>#REF!</v>
      </c>
      <c r="IQ27" t="e">
        <f>AND(Boiler!#REF!,"AAAAAHE53/o=")</f>
        <v>#REF!</v>
      </c>
      <c r="IR27" t="e">
        <f>IF(Boiler!#REF!,"AAAAAHE53/s=",0)</f>
        <v>#REF!</v>
      </c>
      <c r="IS27" t="e">
        <f>AND(Boiler!#REF!,"AAAAAHE53/w=")</f>
        <v>#REF!</v>
      </c>
      <c r="IT27" t="e">
        <f>AND(Boiler!#REF!,"AAAAAHE53/0=")</f>
        <v>#REF!</v>
      </c>
      <c r="IU27" t="e">
        <f>AND(Boiler!#REF!,"AAAAAHE53/4=")</f>
        <v>#REF!</v>
      </c>
      <c r="IV27" t="e">
        <f>AND(Boiler!#REF!,"AAAAAHE53/8=")</f>
        <v>#REF!</v>
      </c>
    </row>
    <row r="28" spans="1:256">
      <c r="A28" t="e">
        <f>AND(Boiler!#REF!,"AAAAAH7j7wA=")</f>
        <v>#REF!</v>
      </c>
      <c r="B28" t="e">
        <f>AND(Boiler!#REF!,"AAAAAH7j7wE=")</f>
        <v>#REF!</v>
      </c>
      <c r="C28" t="e">
        <f>AND(Boiler!#REF!,"AAAAAH7j7wI=")</f>
        <v>#REF!</v>
      </c>
      <c r="D28" t="e">
        <f>AND(Boiler!#REF!,"AAAAAH7j7wM=")</f>
        <v>#REF!</v>
      </c>
      <c r="E28" t="e">
        <f>AND(Boiler!#REF!,"AAAAAH7j7wQ=")</f>
        <v>#REF!</v>
      </c>
      <c r="F28" t="e">
        <f>AND(Boiler!#REF!,"AAAAAH7j7wU=")</f>
        <v>#REF!</v>
      </c>
      <c r="G28" t="e">
        <f>AND(Boiler!#REF!,"AAAAAH7j7wY=")</f>
        <v>#REF!</v>
      </c>
      <c r="H28" t="e">
        <f>AND(Boiler!#REF!,"AAAAAH7j7wc=")</f>
        <v>#REF!</v>
      </c>
      <c r="I28" t="e">
        <f>AND(Boiler!#REF!,"AAAAAH7j7wg=")</f>
        <v>#REF!</v>
      </c>
      <c r="J28" t="e">
        <f>AND(Boiler!#REF!,"AAAAAH7j7wk=")</f>
        <v>#REF!</v>
      </c>
      <c r="K28" t="e">
        <f>AND(Boiler!#REF!,"AAAAAH7j7wo=")</f>
        <v>#REF!</v>
      </c>
      <c r="L28" t="e">
        <f>IF(Boiler!#REF!,"AAAAAH7j7ws=",0)</f>
        <v>#REF!</v>
      </c>
      <c r="M28" t="e">
        <f>AND(Boiler!#REF!,"AAAAAH7j7ww=")</f>
        <v>#REF!</v>
      </c>
      <c r="N28" t="e">
        <f>AND(Boiler!#REF!,"AAAAAH7j7w0=")</f>
        <v>#REF!</v>
      </c>
      <c r="O28" t="e">
        <f>AND(Boiler!#REF!,"AAAAAH7j7w4=")</f>
        <v>#REF!</v>
      </c>
      <c r="P28" t="e">
        <f>AND(Boiler!#REF!,"AAAAAH7j7w8=")</f>
        <v>#REF!</v>
      </c>
      <c r="Q28" t="e">
        <f>AND(Boiler!#REF!,"AAAAAH7j7xA=")</f>
        <v>#REF!</v>
      </c>
      <c r="R28" t="e">
        <f>AND(Boiler!#REF!,"AAAAAH7j7xE=")</f>
        <v>#REF!</v>
      </c>
      <c r="S28" t="e">
        <f>AND(Boiler!#REF!,"AAAAAH7j7xI=")</f>
        <v>#REF!</v>
      </c>
      <c r="T28" t="e">
        <f>AND(Boiler!#REF!,"AAAAAH7j7xM=")</f>
        <v>#REF!</v>
      </c>
      <c r="U28" t="e">
        <f>AND(Boiler!#REF!,"AAAAAH7j7xQ=")</f>
        <v>#REF!</v>
      </c>
      <c r="V28" t="e">
        <f>AND(Boiler!#REF!,"AAAAAH7j7xU=")</f>
        <v>#REF!</v>
      </c>
      <c r="W28" t="e">
        <f>AND(Boiler!#REF!,"AAAAAH7j7xY=")</f>
        <v>#REF!</v>
      </c>
      <c r="X28" t="e">
        <f>AND(Boiler!#REF!,"AAAAAH7j7xc=")</f>
        <v>#REF!</v>
      </c>
      <c r="Y28" t="e">
        <f>AND(Boiler!#REF!,"AAAAAH7j7xg=")</f>
        <v>#REF!</v>
      </c>
      <c r="Z28" t="e">
        <f>AND(Boiler!#REF!,"AAAAAH7j7xk=")</f>
        <v>#REF!</v>
      </c>
      <c r="AA28" t="e">
        <f>AND(Boiler!#REF!,"AAAAAH7j7xo=")</f>
        <v>#REF!</v>
      </c>
      <c r="AB28" t="e">
        <f>IF(Boiler!#REF!,"AAAAAH7j7xs=",0)</f>
        <v>#REF!</v>
      </c>
      <c r="AC28" t="e">
        <f>AND(Boiler!#REF!,"AAAAAH7j7xw=")</f>
        <v>#REF!</v>
      </c>
      <c r="AD28" t="e">
        <f>AND(Boiler!#REF!,"AAAAAH7j7x0=")</f>
        <v>#REF!</v>
      </c>
      <c r="AE28" t="e">
        <f>AND(Boiler!#REF!,"AAAAAH7j7x4=")</f>
        <v>#REF!</v>
      </c>
      <c r="AF28" t="e">
        <f>AND(Boiler!#REF!,"AAAAAH7j7x8=")</f>
        <v>#REF!</v>
      </c>
      <c r="AG28" t="e">
        <f>AND(Boiler!#REF!,"AAAAAH7j7yA=")</f>
        <v>#REF!</v>
      </c>
      <c r="AH28" t="e">
        <f>AND(Boiler!#REF!,"AAAAAH7j7yE=")</f>
        <v>#REF!</v>
      </c>
      <c r="AI28" t="e">
        <f>AND(Boiler!#REF!,"AAAAAH7j7yI=")</f>
        <v>#REF!</v>
      </c>
      <c r="AJ28" t="e">
        <f>AND(Boiler!#REF!,"AAAAAH7j7yM=")</f>
        <v>#REF!</v>
      </c>
      <c r="AK28" t="e">
        <f>AND(Boiler!#REF!,"AAAAAH7j7yQ=")</f>
        <v>#REF!</v>
      </c>
      <c r="AL28" t="e">
        <f>AND(Boiler!#REF!,"AAAAAH7j7yU=")</f>
        <v>#REF!</v>
      </c>
      <c r="AM28" t="e">
        <f>AND(Boiler!#REF!,"AAAAAH7j7yY=")</f>
        <v>#REF!</v>
      </c>
      <c r="AN28" t="e">
        <f>AND(Boiler!#REF!,"AAAAAH7j7yc=")</f>
        <v>#REF!</v>
      </c>
      <c r="AO28" t="e">
        <f>AND(Boiler!#REF!,"AAAAAH7j7yg=")</f>
        <v>#REF!</v>
      </c>
      <c r="AP28" t="e">
        <f>AND(Boiler!#REF!,"AAAAAH7j7yk=")</f>
        <v>#REF!</v>
      </c>
      <c r="AQ28" t="e">
        <f>AND(Boiler!#REF!,"AAAAAH7j7yo=")</f>
        <v>#REF!</v>
      </c>
      <c r="AR28" t="e">
        <f>IF(Boiler!#REF!,"AAAAAH7j7ys=",0)</f>
        <v>#REF!</v>
      </c>
      <c r="AS28" t="e">
        <f>AND(Boiler!#REF!,"AAAAAH7j7yw=")</f>
        <v>#REF!</v>
      </c>
      <c r="AT28" t="e">
        <f>AND(Boiler!#REF!,"AAAAAH7j7y0=")</f>
        <v>#REF!</v>
      </c>
      <c r="AU28" t="e">
        <f>AND(Boiler!#REF!,"AAAAAH7j7y4=")</f>
        <v>#REF!</v>
      </c>
      <c r="AV28" t="e">
        <f>AND(Boiler!#REF!,"AAAAAH7j7y8=")</f>
        <v>#REF!</v>
      </c>
      <c r="AW28" t="e">
        <f>AND(Boiler!#REF!,"AAAAAH7j7zA=")</f>
        <v>#REF!</v>
      </c>
      <c r="AX28" t="e">
        <f>AND(Boiler!#REF!,"AAAAAH7j7zE=")</f>
        <v>#REF!</v>
      </c>
      <c r="AY28" t="e">
        <f>AND(Boiler!#REF!,"AAAAAH7j7zI=")</f>
        <v>#REF!</v>
      </c>
      <c r="AZ28" t="e">
        <f>AND(Boiler!#REF!,"AAAAAH7j7zM=")</f>
        <v>#REF!</v>
      </c>
      <c r="BA28" t="e">
        <f>AND(Boiler!#REF!,"AAAAAH7j7zQ=")</f>
        <v>#REF!</v>
      </c>
      <c r="BB28" t="e">
        <f>AND(Boiler!#REF!,"AAAAAH7j7zU=")</f>
        <v>#REF!</v>
      </c>
      <c r="BC28" t="e">
        <f>AND(Boiler!#REF!,"AAAAAH7j7zY=")</f>
        <v>#REF!</v>
      </c>
      <c r="BD28" t="e">
        <f>AND(Boiler!#REF!,"AAAAAH7j7zc=")</f>
        <v>#REF!</v>
      </c>
      <c r="BE28" t="e">
        <f>AND(Boiler!#REF!,"AAAAAH7j7zg=")</f>
        <v>#REF!</v>
      </c>
      <c r="BF28" t="e">
        <f>AND(Boiler!#REF!,"AAAAAH7j7zk=")</f>
        <v>#REF!</v>
      </c>
      <c r="BG28" t="e">
        <f>AND(Boiler!#REF!,"AAAAAH7j7zo=")</f>
        <v>#REF!</v>
      </c>
      <c r="BH28" t="e">
        <f>IF(Boiler!#REF!,"AAAAAH7j7zs=",0)</f>
        <v>#REF!</v>
      </c>
      <c r="BI28" t="e">
        <f>AND(Boiler!#REF!,"AAAAAH7j7zw=")</f>
        <v>#REF!</v>
      </c>
      <c r="BJ28" t="e">
        <f>AND(Boiler!#REF!,"AAAAAH7j7z0=")</f>
        <v>#REF!</v>
      </c>
      <c r="BK28" t="e">
        <f>AND(Boiler!#REF!,"AAAAAH7j7z4=")</f>
        <v>#REF!</v>
      </c>
      <c r="BL28" t="e">
        <f>AND(Boiler!#REF!,"AAAAAH7j7z8=")</f>
        <v>#REF!</v>
      </c>
      <c r="BM28" t="e">
        <f>AND(Boiler!#REF!,"AAAAAH7j70A=")</f>
        <v>#REF!</v>
      </c>
      <c r="BN28" t="e">
        <f>AND(Boiler!#REF!,"AAAAAH7j70E=")</f>
        <v>#REF!</v>
      </c>
      <c r="BO28" t="e">
        <f>AND(Boiler!#REF!,"AAAAAH7j70I=")</f>
        <v>#REF!</v>
      </c>
      <c r="BP28" t="e">
        <f>AND(Boiler!#REF!,"AAAAAH7j70M=")</f>
        <v>#REF!</v>
      </c>
      <c r="BQ28" t="e">
        <f>AND(Boiler!#REF!,"AAAAAH7j70Q=")</f>
        <v>#REF!</v>
      </c>
      <c r="BR28" t="e">
        <f>AND(Boiler!#REF!,"AAAAAH7j70U=")</f>
        <v>#REF!</v>
      </c>
      <c r="BS28" t="e">
        <f>AND(Boiler!#REF!,"AAAAAH7j70Y=")</f>
        <v>#REF!</v>
      </c>
      <c r="BT28" t="e">
        <f>AND(Boiler!#REF!,"AAAAAH7j70c=")</f>
        <v>#REF!</v>
      </c>
      <c r="BU28" t="e">
        <f>AND(Boiler!#REF!,"AAAAAH7j70g=")</f>
        <v>#REF!</v>
      </c>
      <c r="BV28" t="e">
        <f>AND(Boiler!#REF!,"AAAAAH7j70k=")</f>
        <v>#REF!</v>
      </c>
      <c r="BW28" t="e">
        <f>AND(Boiler!#REF!,"AAAAAH7j70o=")</f>
        <v>#REF!</v>
      </c>
      <c r="BX28" t="e">
        <f>IF(Boiler!#REF!,"AAAAAH7j70s=",0)</f>
        <v>#REF!</v>
      </c>
      <c r="BY28" t="e">
        <f>AND(Boiler!#REF!,"AAAAAH7j70w=")</f>
        <v>#REF!</v>
      </c>
      <c r="BZ28" t="e">
        <f>AND(Boiler!#REF!,"AAAAAH7j700=")</f>
        <v>#REF!</v>
      </c>
      <c r="CA28" t="e">
        <f>AND(Boiler!#REF!,"AAAAAH7j704=")</f>
        <v>#REF!</v>
      </c>
      <c r="CB28" t="e">
        <f>AND(Boiler!#REF!,"AAAAAH7j708=")</f>
        <v>#REF!</v>
      </c>
      <c r="CC28" t="e">
        <f>AND(Boiler!#REF!,"AAAAAH7j71A=")</f>
        <v>#REF!</v>
      </c>
      <c r="CD28" t="e">
        <f>AND(Boiler!#REF!,"AAAAAH7j71E=")</f>
        <v>#REF!</v>
      </c>
      <c r="CE28" t="e">
        <f>AND(Boiler!#REF!,"AAAAAH7j71I=")</f>
        <v>#REF!</v>
      </c>
      <c r="CF28" t="e">
        <f>AND(Boiler!#REF!,"AAAAAH7j71M=")</f>
        <v>#REF!</v>
      </c>
      <c r="CG28" t="e">
        <f>AND(Boiler!#REF!,"AAAAAH7j71Q=")</f>
        <v>#REF!</v>
      </c>
      <c r="CH28" t="e">
        <f>AND(Boiler!#REF!,"AAAAAH7j71U=")</f>
        <v>#REF!</v>
      </c>
      <c r="CI28" t="e">
        <f>AND(Boiler!#REF!,"AAAAAH7j71Y=")</f>
        <v>#REF!</v>
      </c>
      <c r="CJ28" t="e">
        <f>AND(Boiler!#REF!,"AAAAAH7j71c=")</f>
        <v>#REF!</v>
      </c>
      <c r="CK28" t="e">
        <f>AND(Boiler!#REF!,"AAAAAH7j71g=")</f>
        <v>#REF!</v>
      </c>
      <c r="CL28" t="e">
        <f>AND(Boiler!#REF!,"AAAAAH7j71k=")</f>
        <v>#REF!</v>
      </c>
      <c r="CM28" t="e">
        <f>AND(Boiler!#REF!,"AAAAAH7j71o=")</f>
        <v>#REF!</v>
      </c>
      <c r="CN28" t="e">
        <f>IF(Boiler!#REF!,"AAAAAH7j71s=",0)</f>
        <v>#REF!</v>
      </c>
      <c r="CO28" t="e">
        <f>AND(Boiler!#REF!,"AAAAAH7j71w=")</f>
        <v>#REF!</v>
      </c>
      <c r="CP28" t="e">
        <f>AND(Boiler!#REF!,"AAAAAH7j710=")</f>
        <v>#REF!</v>
      </c>
      <c r="CQ28" t="e">
        <f>AND(Boiler!#REF!,"AAAAAH7j714=")</f>
        <v>#REF!</v>
      </c>
      <c r="CR28" t="e">
        <f>AND(Boiler!#REF!,"AAAAAH7j718=")</f>
        <v>#REF!</v>
      </c>
      <c r="CS28" t="e">
        <f>AND(Boiler!#REF!,"AAAAAH7j72A=")</f>
        <v>#REF!</v>
      </c>
      <c r="CT28" t="e">
        <f>AND(Boiler!#REF!,"AAAAAH7j72E=")</f>
        <v>#REF!</v>
      </c>
      <c r="CU28" t="e">
        <f>AND(Boiler!#REF!,"AAAAAH7j72I=")</f>
        <v>#REF!</v>
      </c>
      <c r="CV28" t="e">
        <f>AND(Boiler!#REF!,"AAAAAH7j72M=")</f>
        <v>#REF!</v>
      </c>
      <c r="CW28" t="e">
        <f>AND(Boiler!#REF!,"AAAAAH7j72Q=")</f>
        <v>#REF!</v>
      </c>
      <c r="CX28" t="e">
        <f>AND(Boiler!#REF!,"AAAAAH7j72U=")</f>
        <v>#REF!</v>
      </c>
      <c r="CY28" t="e">
        <f>AND(Boiler!#REF!,"AAAAAH7j72Y=")</f>
        <v>#REF!</v>
      </c>
      <c r="CZ28" t="e">
        <f>AND(Boiler!#REF!,"AAAAAH7j72c=")</f>
        <v>#REF!</v>
      </c>
      <c r="DA28" t="e">
        <f>AND(Boiler!#REF!,"AAAAAH7j72g=")</f>
        <v>#REF!</v>
      </c>
      <c r="DB28" t="e">
        <f>AND(Boiler!#REF!,"AAAAAH7j72k=")</f>
        <v>#REF!</v>
      </c>
      <c r="DC28" t="e">
        <f>AND(Boiler!#REF!,"AAAAAH7j72o=")</f>
        <v>#REF!</v>
      </c>
      <c r="DD28" t="e">
        <f>IF(Boiler!#REF!,"AAAAAH7j72s=",0)</f>
        <v>#REF!</v>
      </c>
      <c r="DE28" t="e">
        <f>AND(Boiler!#REF!,"AAAAAH7j72w=")</f>
        <v>#REF!</v>
      </c>
      <c r="DF28" t="e">
        <f>AND(Boiler!#REF!,"AAAAAH7j720=")</f>
        <v>#REF!</v>
      </c>
      <c r="DG28" t="e">
        <f>AND(Boiler!#REF!,"AAAAAH7j724=")</f>
        <v>#REF!</v>
      </c>
      <c r="DH28" t="e">
        <f>AND(Boiler!#REF!,"AAAAAH7j728=")</f>
        <v>#REF!</v>
      </c>
      <c r="DI28" t="e">
        <f>AND(Boiler!#REF!,"AAAAAH7j73A=")</f>
        <v>#REF!</v>
      </c>
      <c r="DJ28" t="e">
        <f>AND(Boiler!#REF!,"AAAAAH7j73E=")</f>
        <v>#REF!</v>
      </c>
      <c r="DK28" t="e">
        <f>AND(Boiler!#REF!,"AAAAAH7j73I=")</f>
        <v>#REF!</v>
      </c>
      <c r="DL28" t="e">
        <f>AND(Boiler!#REF!,"AAAAAH7j73M=")</f>
        <v>#REF!</v>
      </c>
      <c r="DM28" t="e">
        <f>AND(Boiler!#REF!,"AAAAAH7j73Q=")</f>
        <v>#REF!</v>
      </c>
      <c r="DN28" t="e">
        <f>AND(Boiler!#REF!,"AAAAAH7j73U=")</f>
        <v>#REF!</v>
      </c>
      <c r="DO28" t="e">
        <f>AND(Boiler!#REF!,"AAAAAH7j73Y=")</f>
        <v>#REF!</v>
      </c>
      <c r="DP28" t="e">
        <f>AND(Boiler!#REF!,"AAAAAH7j73c=")</f>
        <v>#REF!</v>
      </c>
      <c r="DQ28" t="e">
        <f>AND(Boiler!#REF!,"AAAAAH7j73g=")</f>
        <v>#REF!</v>
      </c>
      <c r="DR28" t="e">
        <f>AND(Boiler!#REF!,"AAAAAH7j73k=")</f>
        <v>#REF!</v>
      </c>
      <c r="DS28" t="e">
        <f>AND(Boiler!#REF!,"AAAAAH7j73o=")</f>
        <v>#REF!</v>
      </c>
      <c r="DT28" t="e">
        <f>IF(Boiler!#REF!,"AAAAAH7j73s=",0)</f>
        <v>#REF!</v>
      </c>
      <c r="DU28" t="e">
        <f>AND(Boiler!#REF!,"AAAAAH7j73w=")</f>
        <v>#REF!</v>
      </c>
      <c r="DV28" t="e">
        <f>AND(Boiler!#REF!,"AAAAAH7j730=")</f>
        <v>#REF!</v>
      </c>
      <c r="DW28" t="e">
        <f>AND(Boiler!#REF!,"AAAAAH7j734=")</f>
        <v>#REF!</v>
      </c>
      <c r="DX28" t="e">
        <f>AND(Boiler!#REF!,"AAAAAH7j738=")</f>
        <v>#REF!</v>
      </c>
      <c r="DY28" t="e">
        <f>AND(Boiler!#REF!,"AAAAAH7j74A=")</f>
        <v>#REF!</v>
      </c>
      <c r="DZ28" t="e">
        <f>AND(Boiler!#REF!,"AAAAAH7j74E=")</f>
        <v>#REF!</v>
      </c>
      <c r="EA28" t="e">
        <f>AND(Boiler!#REF!,"AAAAAH7j74I=")</f>
        <v>#REF!</v>
      </c>
      <c r="EB28" t="e">
        <f>AND(Boiler!#REF!,"AAAAAH7j74M=")</f>
        <v>#REF!</v>
      </c>
      <c r="EC28" t="e">
        <f>AND(Boiler!#REF!,"AAAAAH7j74Q=")</f>
        <v>#REF!</v>
      </c>
      <c r="ED28" t="e">
        <f>AND(Boiler!#REF!,"AAAAAH7j74U=")</f>
        <v>#REF!</v>
      </c>
      <c r="EE28" t="e">
        <f>AND(Boiler!#REF!,"AAAAAH7j74Y=")</f>
        <v>#REF!</v>
      </c>
      <c r="EF28" t="e">
        <f>AND(Boiler!#REF!,"AAAAAH7j74c=")</f>
        <v>#REF!</v>
      </c>
      <c r="EG28" t="e">
        <f>AND(Boiler!#REF!,"AAAAAH7j74g=")</f>
        <v>#REF!</v>
      </c>
      <c r="EH28" t="e">
        <f>AND(Boiler!#REF!,"AAAAAH7j74k=")</f>
        <v>#REF!</v>
      </c>
      <c r="EI28" t="e">
        <f>AND(Boiler!#REF!,"AAAAAH7j74o=")</f>
        <v>#REF!</v>
      </c>
      <c r="EJ28" t="e">
        <f>IF(Boiler!#REF!,"AAAAAH7j74s=",0)</f>
        <v>#REF!</v>
      </c>
      <c r="EK28" t="e">
        <f>AND(Boiler!#REF!,"AAAAAH7j74w=")</f>
        <v>#REF!</v>
      </c>
      <c r="EL28" t="e">
        <f>AND(Boiler!#REF!,"AAAAAH7j740=")</f>
        <v>#REF!</v>
      </c>
      <c r="EM28" t="e">
        <f>AND(Boiler!#REF!,"AAAAAH7j744=")</f>
        <v>#REF!</v>
      </c>
      <c r="EN28" t="e">
        <f>AND(Boiler!#REF!,"AAAAAH7j748=")</f>
        <v>#REF!</v>
      </c>
      <c r="EO28" t="e">
        <f>AND(Boiler!#REF!,"AAAAAH7j75A=")</f>
        <v>#REF!</v>
      </c>
      <c r="EP28" t="e">
        <f>AND(Boiler!#REF!,"AAAAAH7j75E=")</f>
        <v>#REF!</v>
      </c>
      <c r="EQ28" t="e">
        <f>AND(Boiler!#REF!,"AAAAAH7j75I=")</f>
        <v>#REF!</v>
      </c>
      <c r="ER28" t="e">
        <f>AND(Boiler!#REF!,"AAAAAH7j75M=")</f>
        <v>#REF!</v>
      </c>
      <c r="ES28" t="e">
        <f>AND(Boiler!#REF!,"AAAAAH7j75Q=")</f>
        <v>#REF!</v>
      </c>
      <c r="ET28" t="e">
        <f>AND(Boiler!#REF!,"AAAAAH7j75U=")</f>
        <v>#REF!</v>
      </c>
      <c r="EU28" t="e">
        <f>AND(Boiler!#REF!,"AAAAAH7j75Y=")</f>
        <v>#REF!</v>
      </c>
      <c r="EV28" t="e">
        <f>AND(Boiler!#REF!,"AAAAAH7j75c=")</f>
        <v>#REF!</v>
      </c>
      <c r="EW28" t="e">
        <f>AND(Boiler!#REF!,"AAAAAH7j75g=")</f>
        <v>#REF!</v>
      </c>
      <c r="EX28" t="e">
        <f>AND(Boiler!#REF!,"AAAAAH7j75k=")</f>
        <v>#REF!</v>
      </c>
      <c r="EY28" t="e">
        <f>AND(Boiler!#REF!,"AAAAAH7j75o=")</f>
        <v>#REF!</v>
      </c>
      <c r="EZ28" t="e">
        <f>IF(Boiler!#REF!,"AAAAAH7j75s=",0)</f>
        <v>#REF!</v>
      </c>
      <c r="FA28" t="e">
        <f>AND(Boiler!#REF!,"AAAAAH7j75w=")</f>
        <v>#REF!</v>
      </c>
      <c r="FB28" t="e">
        <f>AND(Boiler!#REF!,"AAAAAH7j750=")</f>
        <v>#REF!</v>
      </c>
      <c r="FC28" t="e">
        <f>AND(Boiler!#REF!,"AAAAAH7j754=")</f>
        <v>#REF!</v>
      </c>
      <c r="FD28" t="e">
        <f>AND(Boiler!#REF!,"AAAAAH7j758=")</f>
        <v>#REF!</v>
      </c>
      <c r="FE28" t="e">
        <f>AND(Boiler!#REF!,"AAAAAH7j76A=")</f>
        <v>#REF!</v>
      </c>
      <c r="FF28" t="e">
        <f>AND(Boiler!#REF!,"AAAAAH7j76E=")</f>
        <v>#REF!</v>
      </c>
      <c r="FG28" t="e">
        <f>AND(Boiler!#REF!,"AAAAAH7j76I=")</f>
        <v>#REF!</v>
      </c>
      <c r="FH28" t="e">
        <f>AND(Boiler!#REF!,"AAAAAH7j76M=")</f>
        <v>#REF!</v>
      </c>
      <c r="FI28" t="e">
        <f>AND(Boiler!#REF!,"AAAAAH7j76Q=")</f>
        <v>#REF!</v>
      </c>
      <c r="FJ28" t="e">
        <f>AND(Boiler!#REF!,"AAAAAH7j76U=")</f>
        <v>#REF!</v>
      </c>
      <c r="FK28" t="e">
        <f>AND(Boiler!#REF!,"AAAAAH7j76Y=")</f>
        <v>#REF!</v>
      </c>
      <c r="FL28" t="e">
        <f>AND(Boiler!#REF!,"AAAAAH7j76c=")</f>
        <v>#REF!</v>
      </c>
      <c r="FM28" t="e">
        <f>AND(Boiler!#REF!,"AAAAAH7j76g=")</f>
        <v>#REF!</v>
      </c>
      <c r="FN28" t="e">
        <f>AND(Boiler!#REF!,"AAAAAH7j76k=")</f>
        <v>#REF!</v>
      </c>
      <c r="FO28" t="e">
        <f>AND(Boiler!#REF!,"AAAAAH7j76o=")</f>
        <v>#REF!</v>
      </c>
      <c r="FP28" t="e">
        <f>IF(Boiler!#REF!,"AAAAAH7j76s=",0)</f>
        <v>#REF!</v>
      </c>
      <c r="FQ28" t="e">
        <f>AND(Boiler!#REF!,"AAAAAH7j76w=")</f>
        <v>#REF!</v>
      </c>
      <c r="FR28" t="e">
        <f>AND(Boiler!#REF!,"AAAAAH7j760=")</f>
        <v>#REF!</v>
      </c>
      <c r="FS28" t="e">
        <f>AND(Boiler!#REF!,"AAAAAH7j764=")</f>
        <v>#REF!</v>
      </c>
      <c r="FT28" t="e">
        <f>AND(Boiler!#REF!,"AAAAAH7j768=")</f>
        <v>#REF!</v>
      </c>
      <c r="FU28" t="e">
        <f>AND(Boiler!#REF!,"AAAAAH7j77A=")</f>
        <v>#REF!</v>
      </c>
      <c r="FV28" t="e">
        <f>AND(Boiler!#REF!,"AAAAAH7j77E=")</f>
        <v>#REF!</v>
      </c>
      <c r="FW28" t="e">
        <f>AND(Boiler!#REF!,"AAAAAH7j77I=")</f>
        <v>#REF!</v>
      </c>
      <c r="FX28" t="e">
        <f>AND(Boiler!#REF!,"AAAAAH7j77M=")</f>
        <v>#REF!</v>
      </c>
      <c r="FY28" t="e">
        <f>AND(Boiler!#REF!,"AAAAAH7j77Q=")</f>
        <v>#REF!</v>
      </c>
      <c r="FZ28" t="e">
        <f>AND(Boiler!#REF!,"AAAAAH7j77U=")</f>
        <v>#REF!</v>
      </c>
      <c r="GA28" t="e">
        <f>AND(Boiler!#REF!,"AAAAAH7j77Y=")</f>
        <v>#REF!</v>
      </c>
      <c r="GB28" t="e">
        <f>AND(Boiler!#REF!,"AAAAAH7j77c=")</f>
        <v>#REF!</v>
      </c>
      <c r="GC28" t="e">
        <f>AND(Boiler!#REF!,"AAAAAH7j77g=")</f>
        <v>#REF!</v>
      </c>
      <c r="GD28" t="e">
        <f>AND(Boiler!#REF!,"AAAAAH7j77k=")</f>
        <v>#REF!</v>
      </c>
      <c r="GE28" t="e">
        <f>AND(Boiler!#REF!,"AAAAAH7j77o=")</f>
        <v>#REF!</v>
      </c>
      <c r="GF28" t="e">
        <f>IF(Boiler!#REF!,"AAAAAH7j77s=",0)</f>
        <v>#REF!</v>
      </c>
      <c r="GG28" t="e">
        <f>AND(Boiler!#REF!,"AAAAAH7j77w=")</f>
        <v>#REF!</v>
      </c>
      <c r="GH28" t="e">
        <f>AND(Boiler!#REF!,"AAAAAH7j770=")</f>
        <v>#REF!</v>
      </c>
      <c r="GI28" t="e">
        <f>AND(Boiler!#REF!,"AAAAAH7j774=")</f>
        <v>#REF!</v>
      </c>
      <c r="GJ28" t="e">
        <f>AND(Boiler!#REF!,"AAAAAH7j778=")</f>
        <v>#REF!</v>
      </c>
      <c r="GK28" t="e">
        <f>AND(Boiler!#REF!,"AAAAAH7j78A=")</f>
        <v>#REF!</v>
      </c>
      <c r="GL28" t="e">
        <f>AND(Boiler!#REF!,"AAAAAH7j78E=")</f>
        <v>#REF!</v>
      </c>
      <c r="GM28" t="e">
        <f>AND(Boiler!#REF!,"AAAAAH7j78I=")</f>
        <v>#REF!</v>
      </c>
      <c r="GN28" t="e">
        <f>AND(Boiler!#REF!,"AAAAAH7j78M=")</f>
        <v>#REF!</v>
      </c>
      <c r="GO28" t="e">
        <f>AND(Boiler!#REF!,"AAAAAH7j78Q=")</f>
        <v>#REF!</v>
      </c>
      <c r="GP28" t="e">
        <f>AND(Boiler!#REF!,"AAAAAH7j78U=")</f>
        <v>#REF!</v>
      </c>
      <c r="GQ28" t="e">
        <f>AND(Boiler!#REF!,"AAAAAH7j78Y=")</f>
        <v>#REF!</v>
      </c>
      <c r="GR28" t="e">
        <f>AND(Boiler!#REF!,"AAAAAH7j78c=")</f>
        <v>#REF!</v>
      </c>
      <c r="GS28" t="e">
        <f>AND(Boiler!#REF!,"AAAAAH7j78g=")</f>
        <v>#REF!</v>
      </c>
      <c r="GT28" t="e">
        <f>AND(Boiler!#REF!,"AAAAAH7j78k=")</f>
        <v>#REF!</v>
      </c>
      <c r="GU28" t="e">
        <f>AND(Boiler!#REF!,"AAAAAH7j78o=")</f>
        <v>#REF!</v>
      </c>
      <c r="GV28" t="e">
        <f>IF(Boiler!#REF!,"AAAAAH7j78s=",0)</f>
        <v>#REF!</v>
      </c>
      <c r="GW28" t="e">
        <f>AND(Boiler!#REF!,"AAAAAH7j78w=")</f>
        <v>#REF!</v>
      </c>
      <c r="GX28" t="e">
        <f>AND(Boiler!#REF!,"AAAAAH7j780=")</f>
        <v>#REF!</v>
      </c>
      <c r="GY28" t="e">
        <f>AND(Boiler!#REF!,"AAAAAH7j784=")</f>
        <v>#REF!</v>
      </c>
      <c r="GZ28" t="e">
        <f>AND(Boiler!#REF!,"AAAAAH7j788=")</f>
        <v>#REF!</v>
      </c>
      <c r="HA28" t="e">
        <f>AND(Boiler!#REF!,"AAAAAH7j79A=")</f>
        <v>#REF!</v>
      </c>
      <c r="HB28" t="e">
        <f>AND(Boiler!#REF!,"AAAAAH7j79E=")</f>
        <v>#REF!</v>
      </c>
      <c r="HC28" t="e">
        <f>AND(Boiler!#REF!,"AAAAAH7j79I=")</f>
        <v>#REF!</v>
      </c>
      <c r="HD28" t="e">
        <f>AND(Boiler!#REF!,"AAAAAH7j79M=")</f>
        <v>#REF!</v>
      </c>
      <c r="HE28" t="e">
        <f>AND(Boiler!#REF!,"AAAAAH7j79Q=")</f>
        <v>#REF!</v>
      </c>
      <c r="HF28" t="e">
        <f>AND(Boiler!#REF!,"AAAAAH7j79U=")</f>
        <v>#REF!</v>
      </c>
      <c r="HG28" t="e">
        <f>AND(Boiler!#REF!,"AAAAAH7j79Y=")</f>
        <v>#REF!</v>
      </c>
      <c r="HH28" t="e">
        <f>AND(Boiler!#REF!,"AAAAAH7j79c=")</f>
        <v>#REF!</v>
      </c>
      <c r="HI28" t="e">
        <f>AND(Boiler!#REF!,"AAAAAH7j79g=")</f>
        <v>#REF!</v>
      </c>
      <c r="HJ28" t="e">
        <f>AND(Boiler!#REF!,"AAAAAH7j79k=")</f>
        <v>#REF!</v>
      </c>
      <c r="HK28" t="e">
        <f>AND(Boiler!#REF!,"AAAAAH7j79o=")</f>
        <v>#REF!</v>
      </c>
      <c r="HL28" t="e">
        <f>IF(Boiler!#REF!,"AAAAAH7j79s=",0)</f>
        <v>#REF!</v>
      </c>
      <c r="HM28" t="e">
        <f>AND(Boiler!#REF!,"AAAAAH7j79w=")</f>
        <v>#REF!</v>
      </c>
      <c r="HN28" t="e">
        <f>AND(Boiler!#REF!,"AAAAAH7j790=")</f>
        <v>#REF!</v>
      </c>
      <c r="HO28" t="e">
        <f>AND(Boiler!#REF!,"AAAAAH7j794=")</f>
        <v>#REF!</v>
      </c>
      <c r="HP28" t="e">
        <f>AND(Boiler!#REF!,"AAAAAH7j798=")</f>
        <v>#REF!</v>
      </c>
      <c r="HQ28" t="e">
        <f>AND(Boiler!#REF!,"AAAAAH7j7+A=")</f>
        <v>#REF!</v>
      </c>
      <c r="HR28" t="e">
        <f>AND(Boiler!#REF!,"AAAAAH7j7+E=")</f>
        <v>#REF!</v>
      </c>
      <c r="HS28" t="e">
        <f>AND(Boiler!#REF!,"AAAAAH7j7+I=")</f>
        <v>#REF!</v>
      </c>
      <c r="HT28" t="e">
        <f>AND(Boiler!#REF!,"AAAAAH7j7+M=")</f>
        <v>#REF!</v>
      </c>
      <c r="HU28" t="e">
        <f>AND(Boiler!#REF!,"AAAAAH7j7+Q=")</f>
        <v>#REF!</v>
      </c>
      <c r="HV28" t="e">
        <f>AND(Boiler!#REF!,"AAAAAH7j7+U=")</f>
        <v>#REF!</v>
      </c>
      <c r="HW28" t="e">
        <f>AND(Boiler!#REF!,"AAAAAH7j7+Y=")</f>
        <v>#REF!</v>
      </c>
      <c r="HX28" t="e">
        <f>AND(Boiler!#REF!,"AAAAAH7j7+c=")</f>
        <v>#REF!</v>
      </c>
      <c r="HY28" t="e">
        <f>AND(Boiler!#REF!,"AAAAAH7j7+g=")</f>
        <v>#REF!</v>
      </c>
      <c r="HZ28" t="e">
        <f>AND(Boiler!#REF!,"AAAAAH7j7+k=")</f>
        <v>#REF!</v>
      </c>
      <c r="IA28" t="e">
        <f>AND(Boiler!#REF!,"AAAAAH7j7+o=")</f>
        <v>#REF!</v>
      </c>
      <c r="IB28" t="e">
        <f>IF(Boiler!#REF!,"AAAAAH7j7+s=",0)</f>
        <v>#REF!</v>
      </c>
      <c r="IC28" t="e">
        <f>AND(Boiler!#REF!,"AAAAAH7j7+w=")</f>
        <v>#REF!</v>
      </c>
      <c r="ID28" t="e">
        <f>AND(Boiler!#REF!,"AAAAAH7j7+0=")</f>
        <v>#REF!</v>
      </c>
      <c r="IE28" t="e">
        <f>AND(Boiler!#REF!,"AAAAAH7j7+4=")</f>
        <v>#REF!</v>
      </c>
      <c r="IF28" t="e">
        <f>AND(Boiler!#REF!,"AAAAAH7j7+8=")</f>
        <v>#REF!</v>
      </c>
      <c r="IG28" t="e">
        <f>AND(Boiler!#REF!,"AAAAAH7j7/A=")</f>
        <v>#REF!</v>
      </c>
      <c r="IH28" t="e">
        <f>AND(Boiler!#REF!,"AAAAAH7j7/E=")</f>
        <v>#REF!</v>
      </c>
      <c r="II28" t="e">
        <f>AND(Boiler!#REF!,"AAAAAH7j7/I=")</f>
        <v>#REF!</v>
      </c>
      <c r="IJ28" t="e">
        <f>AND(Boiler!#REF!,"AAAAAH7j7/M=")</f>
        <v>#REF!</v>
      </c>
      <c r="IK28" t="e">
        <f>AND(Boiler!#REF!,"AAAAAH7j7/Q=")</f>
        <v>#REF!</v>
      </c>
      <c r="IL28" t="e">
        <f>AND(Boiler!#REF!,"AAAAAH7j7/U=")</f>
        <v>#REF!</v>
      </c>
      <c r="IM28" t="e">
        <f>AND(Boiler!#REF!,"AAAAAH7j7/Y=")</f>
        <v>#REF!</v>
      </c>
      <c r="IN28" t="e">
        <f>AND(Boiler!#REF!,"AAAAAH7j7/c=")</f>
        <v>#REF!</v>
      </c>
      <c r="IO28" t="e">
        <f>AND(Boiler!#REF!,"AAAAAH7j7/g=")</f>
        <v>#REF!</v>
      </c>
      <c r="IP28" t="e">
        <f>AND(Boiler!#REF!,"AAAAAH7j7/k=")</f>
        <v>#REF!</v>
      </c>
      <c r="IQ28" t="e">
        <f>AND(Boiler!#REF!,"AAAAAH7j7/o=")</f>
        <v>#REF!</v>
      </c>
      <c r="IR28" t="e">
        <f>IF(Boiler!#REF!,"AAAAAH7j7/s=",0)</f>
        <v>#REF!</v>
      </c>
      <c r="IS28" t="e">
        <f>AND(Boiler!#REF!,"AAAAAH7j7/w=")</f>
        <v>#REF!</v>
      </c>
      <c r="IT28" t="e">
        <f>AND(Boiler!#REF!,"AAAAAH7j7/0=")</f>
        <v>#REF!</v>
      </c>
      <c r="IU28" t="e">
        <f>AND(Boiler!#REF!,"AAAAAH7j7/4=")</f>
        <v>#REF!</v>
      </c>
      <c r="IV28" t="e">
        <f>AND(Boiler!#REF!,"AAAAAH7j7/8=")</f>
        <v>#REF!</v>
      </c>
    </row>
    <row r="29" spans="1:256">
      <c r="A29" t="e">
        <f>AND(Boiler!#REF!,"AAAAAHuTbwA=")</f>
        <v>#REF!</v>
      </c>
      <c r="B29" t="e">
        <f>AND(Boiler!#REF!,"AAAAAHuTbwE=")</f>
        <v>#REF!</v>
      </c>
      <c r="C29" t="e">
        <f>AND(Boiler!#REF!,"AAAAAHuTbwI=")</f>
        <v>#REF!</v>
      </c>
      <c r="D29" t="e">
        <f>AND(Boiler!#REF!,"AAAAAHuTbwM=")</f>
        <v>#REF!</v>
      </c>
      <c r="E29" t="e">
        <f>AND(Boiler!#REF!,"AAAAAHuTbwQ=")</f>
        <v>#REF!</v>
      </c>
      <c r="F29" t="e">
        <f>AND(Boiler!#REF!,"AAAAAHuTbwU=")</f>
        <v>#REF!</v>
      </c>
      <c r="G29" t="e">
        <f>AND(Boiler!#REF!,"AAAAAHuTbwY=")</f>
        <v>#REF!</v>
      </c>
      <c r="H29" t="e">
        <f>AND(Boiler!#REF!,"AAAAAHuTbwc=")</f>
        <v>#REF!</v>
      </c>
      <c r="I29" t="e">
        <f>AND(Boiler!#REF!,"AAAAAHuTbwg=")</f>
        <v>#REF!</v>
      </c>
      <c r="J29" t="e">
        <f>AND(Boiler!#REF!,"AAAAAHuTbwk=")</f>
        <v>#REF!</v>
      </c>
      <c r="K29" t="e">
        <f>AND(Boiler!#REF!,"AAAAAHuTbwo=")</f>
        <v>#REF!</v>
      </c>
      <c r="L29" t="e">
        <f>IF(Boiler!#REF!,"AAAAAHuTbws=",0)</f>
        <v>#REF!</v>
      </c>
      <c r="M29" t="e">
        <f>AND(Boiler!#REF!,"AAAAAHuTbww=")</f>
        <v>#REF!</v>
      </c>
      <c r="N29" t="e">
        <f>AND(Boiler!#REF!,"AAAAAHuTbw0=")</f>
        <v>#REF!</v>
      </c>
      <c r="O29" t="e">
        <f>AND(Boiler!#REF!,"AAAAAHuTbw4=")</f>
        <v>#REF!</v>
      </c>
      <c r="P29" t="e">
        <f>AND(Boiler!#REF!,"AAAAAHuTbw8=")</f>
        <v>#REF!</v>
      </c>
      <c r="Q29" t="e">
        <f>AND(Boiler!#REF!,"AAAAAHuTbxA=")</f>
        <v>#REF!</v>
      </c>
      <c r="R29" t="e">
        <f>AND(Boiler!#REF!,"AAAAAHuTbxE=")</f>
        <v>#REF!</v>
      </c>
      <c r="S29" t="e">
        <f>AND(Boiler!#REF!,"AAAAAHuTbxI=")</f>
        <v>#REF!</v>
      </c>
      <c r="T29" t="e">
        <f>AND(Boiler!#REF!,"AAAAAHuTbxM=")</f>
        <v>#REF!</v>
      </c>
      <c r="U29" t="e">
        <f>AND(Boiler!#REF!,"AAAAAHuTbxQ=")</f>
        <v>#REF!</v>
      </c>
      <c r="V29" t="e">
        <f>AND(Boiler!#REF!,"AAAAAHuTbxU=")</f>
        <v>#REF!</v>
      </c>
      <c r="W29" t="e">
        <f>AND(Boiler!#REF!,"AAAAAHuTbxY=")</f>
        <v>#REF!</v>
      </c>
      <c r="X29" t="e">
        <f>AND(Boiler!#REF!,"AAAAAHuTbxc=")</f>
        <v>#REF!</v>
      </c>
      <c r="Y29" t="e">
        <f>AND(Boiler!#REF!,"AAAAAHuTbxg=")</f>
        <v>#REF!</v>
      </c>
      <c r="Z29" t="e">
        <f>AND(Boiler!#REF!,"AAAAAHuTbxk=")</f>
        <v>#REF!</v>
      </c>
      <c r="AA29" t="e">
        <f>AND(Boiler!#REF!,"AAAAAHuTbxo=")</f>
        <v>#REF!</v>
      </c>
      <c r="AB29" t="e">
        <f>IF(Boiler!#REF!,"AAAAAHuTbxs=",0)</f>
        <v>#REF!</v>
      </c>
      <c r="AC29" t="e">
        <f>AND(Boiler!#REF!,"AAAAAHuTbxw=")</f>
        <v>#REF!</v>
      </c>
      <c r="AD29" t="e">
        <f>AND(Boiler!#REF!,"AAAAAHuTbx0=")</f>
        <v>#REF!</v>
      </c>
      <c r="AE29" t="e">
        <f>AND(Boiler!#REF!,"AAAAAHuTbx4=")</f>
        <v>#REF!</v>
      </c>
      <c r="AF29" t="e">
        <f>AND(Boiler!#REF!,"AAAAAHuTbx8=")</f>
        <v>#REF!</v>
      </c>
      <c r="AG29" t="e">
        <f>AND(Boiler!#REF!,"AAAAAHuTbyA=")</f>
        <v>#REF!</v>
      </c>
      <c r="AH29" t="e">
        <f>AND(Boiler!#REF!,"AAAAAHuTbyE=")</f>
        <v>#REF!</v>
      </c>
      <c r="AI29" t="e">
        <f>AND(Boiler!#REF!,"AAAAAHuTbyI=")</f>
        <v>#REF!</v>
      </c>
      <c r="AJ29" t="e">
        <f>AND(Boiler!#REF!,"AAAAAHuTbyM=")</f>
        <v>#REF!</v>
      </c>
      <c r="AK29" t="e">
        <f>AND(Boiler!#REF!,"AAAAAHuTbyQ=")</f>
        <v>#REF!</v>
      </c>
      <c r="AL29" t="e">
        <f>AND(Boiler!#REF!,"AAAAAHuTbyU=")</f>
        <v>#REF!</v>
      </c>
      <c r="AM29" t="e">
        <f>AND(Boiler!#REF!,"AAAAAHuTbyY=")</f>
        <v>#REF!</v>
      </c>
      <c r="AN29" t="e">
        <f>AND(Boiler!#REF!,"AAAAAHuTbyc=")</f>
        <v>#REF!</v>
      </c>
      <c r="AO29" t="e">
        <f>AND(Boiler!#REF!,"AAAAAHuTbyg=")</f>
        <v>#REF!</v>
      </c>
      <c r="AP29" t="e">
        <f>AND(Boiler!#REF!,"AAAAAHuTbyk=")</f>
        <v>#REF!</v>
      </c>
      <c r="AQ29" t="e">
        <f>AND(Boiler!#REF!,"AAAAAHuTbyo=")</f>
        <v>#REF!</v>
      </c>
      <c r="AR29" t="e">
        <f>IF(Boiler!#REF!,"AAAAAHuTbys=",0)</f>
        <v>#REF!</v>
      </c>
      <c r="AS29" t="e">
        <f>AND(Boiler!#REF!,"AAAAAHuTbyw=")</f>
        <v>#REF!</v>
      </c>
      <c r="AT29" t="e">
        <f>AND(Boiler!#REF!,"AAAAAHuTby0=")</f>
        <v>#REF!</v>
      </c>
      <c r="AU29" t="e">
        <f>AND(Boiler!#REF!,"AAAAAHuTby4=")</f>
        <v>#REF!</v>
      </c>
      <c r="AV29" t="e">
        <f>AND(Boiler!#REF!,"AAAAAHuTby8=")</f>
        <v>#REF!</v>
      </c>
      <c r="AW29" t="e">
        <f>AND(Boiler!#REF!,"AAAAAHuTbzA=")</f>
        <v>#REF!</v>
      </c>
      <c r="AX29" t="e">
        <f>AND(Boiler!#REF!,"AAAAAHuTbzE=")</f>
        <v>#REF!</v>
      </c>
      <c r="AY29" t="e">
        <f>AND(Boiler!#REF!,"AAAAAHuTbzI=")</f>
        <v>#REF!</v>
      </c>
      <c r="AZ29" t="e">
        <f>AND(Boiler!#REF!,"AAAAAHuTbzM=")</f>
        <v>#REF!</v>
      </c>
      <c r="BA29" t="e">
        <f>AND(Boiler!#REF!,"AAAAAHuTbzQ=")</f>
        <v>#REF!</v>
      </c>
      <c r="BB29" t="e">
        <f>AND(Boiler!#REF!,"AAAAAHuTbzU=")</f>
        <v>#REF!</v>
      </c>
      <c r="BC29" t="e">
        <f>AND(Boiler!#REF!,"AAAAAHuTbzY=")</f>
        <v>#REF!</v>
      </c>
      <c r="BD29" t="e">
        <f>AND(Boiler!#REF!,"AAAAAHuTbzc=")</f>
        <v>#REF!</v>
      </c>
      <c r="BE29" t="e">
        <f>AND(Boiler!#REF!,"AAAAAHuTbzg=")</f>
        <v>#REF!</v>
      </c>
      <c r="BF29" t="e">
        <f>AND(Boiler!#REF!,"AAAAAHuTbzk=")</f>
        <v>#REF!</v>
      </c>
      <c r="BG29" t="e">
        <f>AND(Boiler!#REF!,"AAAAAHuTbzo=")</f>
        <v>#REF!</v>
      </c>
      <c r="BH29" t="e">
        <f>IF(Boiler!#REF!,"AAAAAHuTbzs=",0)</f>
        <v>#REF!</v>
      </c>
      <c r="BI29" t="e">
        <f>AND(Boiler!#REF!,"AAAAAHuTbzw=")</f>
        <v>#REF!</v>
      </c>
      <c r="BJ29" t="e">
        <f>AND(Boiler!#REF!,"AAAAAHuTbz0=")</f>
        <v>#REF!</v>
      </c>
      <c r="BK29" t="e">
        <f>AND(Boiler!#REF!,"AAAAAHuTbz4=")</f>
        <v>#REF!</v>
      </c>
      <c r="BL29" t="e">
        <f>AND(Boiler!#REF!,"AAAAAHuTbz8=")</f>
        <v>#REF!</v>
      </c>
      <c r="BM29" t="e">
        <f>AND(Boiler!#REF!,"AAAAAHuTb0A=")</f>
        <v>#REF!</v>
      </c>
      <c r="BN29" t="e">
        <f>AND(Boiler!#REF!,"AAAAAHuTb0E=")</f>
        <v>#REF!</v>
      </c>
      <c r="BO29" t="e">
        <f>AND(Boiler!#REF!,"AAAAAHuTb0I=")</f>
        <v>#REF!</v>
      </c>
      <c r="BP29" t="e">
        <f>AND(Boiler!#REF!,"AAAAAHuTb0M=")</f>
        <v>#REF!</v>
      </c>
      <c r="BQ29" t="e">
        <f>AND(Boiler!#REF!,"AAAAAHuTb0Q=")</f>
        <v>#REF!</v>
      </c>
      <c r="BR29" t="e">
        <f>AND(Boiler!#REF!,"AAAAAHuTb0U=")</f>
        <v>#REF!</v>
      </c>
      <c r="BS29" t="e">
        <f>AND(Boiler!#REF!,"AAAAAHuTb0Y=")</f>
        <v>#REF!</v>
      </c>
      <c r="BT29" t="e">
        <f>AND(Boiler!#REF!,"AAAAAHuTb0c=")</f>
        <v>#REF!</v>
      </c>
      <c r="BU29" t="e">
        <f>AND(Boiler!#REF!,"AAAAAHuTb0g=")</f>
        <v>#REF!</v>
      </c>
      <c r="BV29" t="e">
        <f>AND(Boiler!#REF!,"AAAAAHuTb0k=")</f>
        <v>#REF!</v>
      </c>
      <c r="BW29" t="e">
        <f>AND(Boiler!#REF!,"AAAAAHuTb0o=")</f>
        <v>#REF!</v>
      </c>
      <c r="BX29" t="e">
        <f>IF(Boiler!#REF!,"AAAAAHuTb0s=",0)</f>
        <v>#REF!</v>
      </c>
      <c r="BY29" t="e">
        <f>AND(Boiler!#REF!,"AAAAAHuTb0w=")</f>
        <v>#REF!</v>
      </c>
      <c r="BZ29" t="e">
        <f>AND(Boiler!#REF!,"AAAAAHuTb00=")</f>
        <v>#REF!</v>
      </c>
      <c r="CA29" t="e">
        <f>AND(Boiler!#REF!,"AAAAAHuTb04=")</f>
        <v>#REF!</v>
      </c>
      <c r="CB29" t="e">
        <f>AND(Boiler!#REF!,"AAAAAHuTb08=")</f>
        <v>#REF!</v>
      </c>
      <c r="CC29" t="e">
        <f>AND(Boiler!#REF!,"AAAAAHuTb1A=")</f>
        <v>#REF!</v>
      </c>
      <c r="CD29" t="e">
        <f>AND(Boiler!#REF!,"AAAAAHuTb1E=")</f>
        <v>#REF!</v>
      </c>
      <c r="CE29" t="e">
        <f>AND(Boiler!#REF!,"AAAAAHuTb1I=")</f>
        <v>#REF!</v>
      </c>
      <c r="CF29" t="e">
        <f>AND(Boiler!#REF!,"AAAAAHuTb1M=")</f>
        <v>#REF!</v>
      </c>
      <c r="CG29" t="e">
        <f>AND(Boiler!#REF!,"AAAAAHuTb1Q=")</f>
        <v>#REF!</v>
      </c>
      <c r="CH29" t="e">
        <f>AND(Boiler!#REF!,"AAAAAHuTb1U=")</f>
        <v>#REF!</v>
      </c>
      <c r="CI29" t="e">
        <f>AND(Boiler!#REF!,"AAAAAHuTb1Y=")</f>
        <v>#REF!</v>
      </c>
      <c r="CJ29" t="e">
        <f>AND(Boiler!#REF!,"AAAAAHuTb1c=")</f>
        <v>#REF!</v>
      </c>
      <c r="CK29" t="e">
        <f>AND(Boiler!#REF!,"AAAAAHuTb1g=")</f>
        <v>#REF!</v>
      </c>
      <c r="CL29" t="e">
        <f>AND(Boiler!#REF!,"AAAAAHuTb1k=")</f>
        <v>#REF!</v>
      </c>
      <c r="CM29" t="e">
        <f>AND(Boiler!#REF!,"AAAAAHuTb1o=")</f>
        <v>#REF!</v>
      </c>
      <c r="CN29">
        <f>IF(Boiler!42:42,"AAAAAHuTb1s=",0)</f>
        <v>0</v>
      </c>
      <c r="CO29" t="e">
        <f>AND(Boiler!A42,"AAAAAHuTb1w=")</f>
        <v>#VALUE!</v>
      </c>
      <c r="CP29" t="e">
        <f>AND(Boiler!B42,"AAAAAHuTb10=")</f>
        <v>#VALUE!</v>
      </c>
      <c r="CQ29" t="e">
        <f>AND(Boiler!C42,"AAAAAHuTb14=")</f>
        <v>#VALUE!</v>
      </c>
      <c r="CR29" t="e">
        <f>AND(Boiler!D42,"AAAAAHuTb18=")</f>
        <v>#VALUE!</v>
      </c>
      <c r="CS29" t="e">
        <f>AND(Boiler!E42,"AAAAAHuTb2A=")</f>
        <v>#VALUE!</v>
      </c>
      <c r="CT29" t="e">
        <f>AND(Boiler!F42,"AAAAAHuTb2E=")</f>
        <v>#VALUE!</v>
      </c>
      <c r="CU29" t="e">
        <f>AND(Boiler!G42,"AAAAAHuTb2I=")</f>
        <v>#VALUE!</v>
      </c>
      <c r="CV29" t="e">
        <f>AND(Boiler!H42,"AAAAAHuTb2M=")</f>
        <v>#VALUE!</v>
      </c>
      <c r="CW29" t="e">
        <f>AND(Boiler!I42,"AAAAAHuTb2Q=")</f>
        <v>#VALUE!</v>
      </c>
      <c r="CX29" t="e">
        <f>AND(Boiler!J42,"AAAAAHuTb2U=")</f>
        <v>#VALUE!</v>
      </c>
      <c r="CY29" t="e">
        <f>AND(Boiler!K42,"AAAAAHuTb2Y=")</f>
        <v>#VALUE!</v>
      </c>
      <c r="CZ29" t="e">
        <f>AND(Boiler!L42,"AAAAAHuTb2c=")</f>
        <v>#VALUE!</v>
      </c>
      <c r="DA29" t="e">
        <f>AND(Boiler!M42,"AAAAAHuTb2g=")</f>
        <v>#VALUE!</v>
      </c>
      <c r="DB29" t="e">
        <f>AND(Boiler!N42,"AAAAAHuTb2k=")</f>
        <v>#VALUE!</v>
      </c>
      <c r="DC29" t="e">
        <f>AND(Boiler!O42,"AAAAAHuTb2o=")</f>
        <v>#VALUE!</v>
      </c>
      <c r="DD29" t="e">
        <f>IF(Boiler!#REF!,"AAAAAHuTb2s=",0)</f>
        <v>#REF!</v>
      </c>
      <c r="DE29" t="e">
        <f>AND(Boiler!#REF!,"AAAAAHuTb2w=")</f>
        <v>#REF!</v>
      </c>
      <c r="DF29" t="e">
        <f>AND(Boiler!#REF!,"AAAAAHuTb20=")</f>
        <v>#REF!</v>
      </c>
      <c r="DG29" t="e">
        <f>AND(Boiler!#REF!,"AAAAAHuTb24=")</f>
        <v>#REF!</v>
      </c>
      <c r="DH29" t="e">
        <f>AND(Boiler!#REF!,"AAAAAHuTb28=")</f>
        <v>#REF!</v>
      </c>
      <c r="DI29" t="e">
        <f>AND(Boiler!#REF!,"AAAAAHuTb3A=")</f>
        <v>#REF!</v>
      </c>
      <c r="DJ29" t="e">
        <f>AND(Boiler!#REF!,"AAAAAHuTb3E=")</f>
        <v>#REF!</v>
      </c>
      <c r="DK29" t="e">
        <f>AND(Boiler!#REF!,"AAAAAHuTb3I=")</f>
        <v>#REF!</v>
      </c>
      <c r="DL29" t="e">
        <f>AND(Boiler!#REF!,"AAAAAHuTb3M=")</f>
        <v>#REF!</v>
      </c>
      <c r="DM29" t="e">
        <f>AND(Boiler!#REF!,"AAAAAHuTb3Q=")</f>
        <v>#REF!</v>
      </c>
      <c r="DN29" t="e">
        <f>AND(Boiler!#REF!,"AAAAAHuTb3U=")</f>
        <v>#REF!</v>
      </c>
      <c r="DO29" t="e">
        <f>AND(Boiler!#REF!,"AAAAAHuTb3Y=")</f>
        <v>#REF!</v>
      </c>
      <c r="DP29" t="e">
        <f>AND(Boiler!#REF!,"AAAAAHuTb3c=")</f>
        <v>#REF!</v>
      </c>
      <c r="DQ29" t="e">
        <f>AND(Boiler!#REF!,"AAAAAHuTb3g=")</f>
        <v>#REF!</v>
      </c>
      <c r="DR29" t="e">
        <f>AND(Boiler!#REF!,"AAAAAHuTb3k=")</f>
        <v>#REF!</v>
      </c>
      <c r="DS29" t="e">
        <f>AND(Boiler!#REF!,"AAAAAHuTb3o=")</f>
        <v>#REF!</v>
      </c>
      <c r="DT29" t="e">
        <f>IF(Boiler!#REF!,"AAAAAHuTb3s=",0)</f>
        <v>#REF!</v>
      </c>
      <c r="DU29" t="e">
        <f>AND(Boiler!#REF!,"AAAAAHuTb3w=")</f>
        <v>#REF!</v>
      </c>
      <c r="DV29" t="e">
        <f>AND(Boiler!#REF!,"AAAAAHuTb30=")</f>
        <v>#REF!</v>
      </c>
      <c r="DW29" t="e">
        <f>AND(Boiler!#REF!,"AAAAAHuTb34=")</f>
        <v>#REF!</v>
      </c>
      <c r="DX29" t="e">
        <f>AND(Boiler!#REF!,"AAAAAHuTb38=")</f>
        <v>#REF!</v>
      </c>
      <c r="DY29" t="e">
        <f>AND(Boiler!#REF!,"AAAAAHuTb4A=")</f>
        <v>#REF!</v>
      </c>
      <c r="DZ29" t="e">
        <f>AND(Boiler!#REF!,"AAAAAHuTb4E=")</f>
        <v>#REF!</v>
      </c>
      <c r="EA29" t="e">
        <f>AND(Boiler!#REF!,"AAAAAHuTb4I=")</f>
        <v>#REF!</v>
      </c>
      <c r="EB29" t="e">
        <f>AND(Boiler!#REF!,"AAAAAHuTb4M=")</f>
        <v>#REF!</v>
      </c>
      <c r="EC29" t="e">
        <f>AND(Boiler!#REF!,"AAAAAHuTb4Q=")</f>
        <v>#REF!</v>
      </c>
      <c r="ED29" t="e">
        <f>AND(Boiler!#REF!,"AAAAAHuTb4U=")</f>
        <v>#REF!</v>
      </c>
      <c r="EE29" t="e">
        <f>AND(Boiler!#REF!,"AAAAAHuTb4Y=")</f>
        <v>#REF!</v>
      </c>
      <c r="EF29" t="e">
        <f>AND(Boiler!#REF!,"AAAAAHuTb4c=")</f>
        <v>#REF!</v>
      </c>
      <c r="EG29" t="e">
        <f>AND(Boiler!#REF!,"AAAAAHuTb4g=")</f>
        <v>#REF!</v>
      </c>
      <c r="EH29" t="e">
        <f>AND(Boiler!#REF!,"AAAAAHuTb4k=")</f>
        <v>#REF!</v>
      </c>
      <c r="EI29" t="e">
        <f>AND(Boiler!#REF!,"AAAAAHuTb4o=")</f>
        <v>#REF!</v>
      </c>
      <c r="EJ29" t="e">
        <f>IF(Boiler!#REF!,"AAAAAHuTb4s=",0)</f>
        <v>#REF!</v>
      </c>
      <c r="EK29" t="e">
        <f>AND(Boiler!#REF!,"AAAAAHuTb4w=")</f>
        <v>#REF!</v>
      </c>
      <c r="EL29" t="e">
        <f>AND(Boiler!#REF!,"AAAAAHuTb40=")</f>
        <v>#REF!</v>
      </c>
      <c r="EM29" t="e">
        <f>AND(Boiler!#REF!,"AAAAAHuTb44=")</f>
        <v>#REF!</v>
      </c>
      <c r="EN29" t="e">
        <f>AND(Boiler!#REF!,"AAAAAHuTb48=")</f>
        <v>#REF!</v>
      </c>
      <c r="EO29" t="e">
        <f>AND(Boiler!#REF!,"AAAAAHuTb5A=")</f>
        <v>#REF!</v>
      </c>
      <c r="EP29" t="e">
        <f>AND(Boiler!#REF!,"AAAAAHuTb5E=")</f>
        <v>#REF!</v>
      </c>
      <c r="EQ29" t="e">
        <f>AND(Boiler!#REF!,"AAAAAHuTb5I=")</f>
        <v>#REF!</v>
      </c>
      <c r="ER29" t="e">
        <f>AND(Boiler!#REF!,"AAAAAHuTb5M=")</f>
        <v>#REF!</v>
      </c>
      <c r="ES29" t="e">
        <f>AND(Boiler!#REF!,"AAAAAHuTb5Q=")</f>
        <v>#REF!</v>
      </c>
      <c r="ET29" t="e">
        <f>AND(Boiler!#REF!,"AAAAAHuTb5U=")</f>
        <v>#REF!</v>
      </c>
      <c r="EU29" t="e">
        <f>AND(Boiler!#REF!,"AAAAAHuTb5Y=")</f>
        <v>#REF!</v>
      </c>
      <c r="EV29" t="e">
        <f>AND(Boiler!#REF!,"AAAAAHuTb5c=")</f>
        <v>#REF!</v>
      </c>
      <c r="EW29" t="e">
        <f>AND(Boiler!#REF!,"AAAAAHuTb5g=")</f>
        <v>#REF!</v>
      </c>
      <c r="EX29" t="e">
        <f>AND(Boiler!#REF!,"AAAAAHuTb5k=")</f>
        <v>#REF!</v>
      </c>
      <c r="EY29" t="e">
        <f>AND(Boiler!#REF!,"AAAAAHuTb5o=")</f>
        <v>#REF!</v>
      </c>
      <c r="EZ29" t="e">
        <f>IF(Boiler!#REF!,"AAAAAHuTb5s=",0)</f>
        <v>#REF!</v>
      </c>
      <c r="FA29" t="e">
        <f>AND(Boiler!#REF!,"AAAAAHuTb5w=")</f>
        <v>#REF!</v>
      </c>
      <c r="FB29" t="e">
        <f>AND(Boiler!#REF!,"AAAAAHuTb50=")</f>
        <v>#REF!</v>
      </c>
      <c r="FC29" t="e">
        <f>AND(Boiler!#REF!,"AAAAAHuTb54=")</f>
        <v>#REF!</v>
      </c>
      <c r="FD29" t="e">
        <f>AND(Boiler!#REF!,"AAAAAHuTb58=")</f>
        <v>#REF!</v>
      </c>
      <c r="FE29" t="e">
        <f>AND(Boiler!#REF!,"AAAAAHuTb6A=")</f>
        <v>#REF!</v>
      </c>
      <c r="FF29" t="e">
        <f>AND(Boiler!#REF!,"AAAAAHuTb6E=")</f>
        <v>#REF!</v>
      </c>
      <c r="FG29" t="e">
        <f>AND(Boiler!#REF!,"AAAAAHuTb6I=")</f>
        <v>#REF!</v>
      </c>
      <c r="FH29" t="e">
        <f>AND(Boiler!#REF!,"AAAAAHuTb6M=")</f>
        <v>#REF!</v>
      </c>
      <c r="FI29" t="e">
        <f>AND(Boiler!#REF!,"AAAAAHuTb6Q=")</f>
        <v>#REF!</v>
      </c>
      <c r="FJ29" t="e">
        <f>AND(Boiler!#REF!,"AAAAAHuTb6U=")</f>
        <v>#REF!</v>
      </c>
      <c r="FK29" t="e">
        <f>AND(Boiler!#REF!,"AAAAAHuTb6Y=")</f>
        <v>#REF!</v>
      </c>
      <c r="FL29" t="e">
        <f>AND(Boiler!#REF!,"AAAAAHuTb6c=")</f>
        <v>#REF!</v>
      </c>
      <c r="FM29" t="e">
        <f>AND(Boiler!#REF!,"AAAAAHuTb6g=")</f>
        <v>#REF!</v>
      </c>
      <c r="FN29" t="e">
        <f>AND(Boiler!#REF!,"AAAAAHuTb6k=")</f>
        <v>#REF!</v>
      </c>
      <c r="FO29" t="e">
        <f>AND(Boiler!#REF!,"AAAAAHuTb6o=")</f>
        <v>#REF!</v>
      </c>
      <c r="FP29" t="e">
        <f>IF(Boiler!#REF!,"AAAAAHuTb6s=",0)</f>
        <v>#REF!</v>
      </c>
      <c r="FQ29" t="e">
        <f>AND(Boiler!#REF!,"AAAAAHuTb6w=")</f>
        <v>#REF!</v>
      </c>
      <c r="FR29" t="e">
        <f>AND(Boiler!#REF!,"AAAAAHuTb60=")</f>
        <v>#REF!</v>
      </c>
      <c r="FS29" t="e">
        <f>AND(Boiler!#REF!,"AAAAAHuTb64=")</f>
        <v>#REF!</v>
      </c>
      <c r="FT29" t="e">
        <f>AND(Boiler!#REF!,"AAAAAHuTb68=")</f>
        <v>#REF!</v>
      </c>
      <c r="FU29" t="e">
        <f>AND(Boiler!#REF!,"AAAAAHuTb7A=")</f>
        <v>#REF!</v>
      </c>
      <c r="FV29" t="e">
        <f>AND(Boiler!#REF!,"AAAAAHuTb7E=")</f>
        <v>#REF!</v>
      </c>
      <c r="FW29" t="e">
        <f>AND(Boiler!#REF!,"AAAAAHuTb7I=")</f>
        <v>#REF!</v>
      </c>
      <c r="FX29" t="e">
        <f>AND(Boiler!#REF!,"AAAAAHuTb7M=")</f>
        <v>#REF!</v>
      </c>
      <c r="FY29" t="e">
        <f>AND(Boiler!#REF!,"AAAAAHuTb7Q=")</f>
        <v>#REF!</v>
      </c>
      <c r="FZ29" t="e">
        <f>AND(Boiler!#REF!,"AAAAAHuTb7U=")</f>
        <v>#REF!</v>
      </c>
      <c r="GA29" t="e">
        <f>AND(Boiler!#REF!,"AAAAAHuTb7Y=")</f>
        <v>#REF!</v>
      </c>
      <c r="GB29" t="e">
        <f>AND(Boiler!#REF!,"AAAAAHuTb7c=")</f>
        <v>#REF!</v>
      </c>
      <c r="GC29" t="e">
        <f>AND(Boiler!#REF!,"AAAAAHuTb7g=")</f>
        <v>#REF!</v>
      </c>
      <c r="GD29" t="e">
        <f>AND(Boiler!#REF!,"AAAAAHuTb7k=")</f>
        <v>#REF!</v>
      </c>
      <c r="GE29" t="e">
        <f>AND(Boiler!#REF!,"AAAAAHuTb7o=")</f>
        <v>#REF!</v>
      </c>
      <c r="GF29" t="e">
        <f>IF(Boiler!#REF!,"AAAAAHuTb7s=",0)</f>
        <v>#REF!</v>
      </c>
      <c r="GG29" t="e">
        <f>AND(Boiler!#REF!,"AAAAAHuTb7w=")</f>
        <v>#REF!</v>
      </c>
      <c r="GH29" t="e">
        <f>AND(Boiler!#REF!,"AAAAAHuTb70=")</f>
        <v>#REF!</v>
      </c>
      <c r="GI29" t="e">
        <f>AND(Boiler!#REF!,"AAAAAHuTb74=")</f>
        <v>#REF!</v>
      </c>
      <c r="GJ29" t="e">
        <f>AND(Boiler!#REF!,"AAAAAHuTb78=")</f>
        <v>#REF!</v>
      </c>
      <c r="GK29" t="e">
        <f>AND(Boiler!#REF!,"AAAAAHuTb8A=")</f>
        <v>#REF!</v>
      </c>
      <c r="GL29" t="e">
        <f>AND(Boiler!#REF!,"AAAAAHuTb8E=")</f>
        <v>#REF!</v>
      </c>
      <c r="GM29" t="e">
        <f>AND(Boiler!#REF!,"AAAAAHuTb8I=")</f>
        <v>#REF!</v>
      </c>
      <c r="GN29" t="e">
        <f>AND(Boiler!#REF!,"AAAAAHuTb8M=")</f>
        <v>#REF!</v>
      </c>
      <c r="GO29" t="e">
        <f>AND(Boiler!#REF!,"AAAAAHuTb8Q=")</f>
        <v>#REF!</v>
      </c>
      <c r="GP29" t="e">
        <f>AND(Boiler!#REF!,"AAAAAHuTb8U=")</f>
        <v>#REF!</v>
      </c>
      <c r="GQ29" t="e">
        <f>AND(Boiler!#REF!,"AAAAAHuTb8Y=")</f>
        <v>#REF!</v>
      </c>
      <c r="GR29" t="e">
        <f>AND(Boiler!#REF!,"AAAAAHuTb8c=")</f>
        <v>#REF!</v>
      </c>
      <c r="GS29" t="e">
        <f>AND(Boiler!#REF!,"AAAAAHuTb8g=")</f>
        <v>#REF!</v>
      </c>
      <c r="GT29" t="e">
        <f>AND(Boiler!#REF!,"AAAAAHuTb8k=")</f>
        <v>#REF!</v>
      </c>
      <c r="GU29" t="e">
        <f>AND(Boiler!#REF!,"AAAAAHuTb8o=")</f>
        <v>#REF!</v>
      </c>
      <c r="GV29" t="e">
        <f>IF(Boiler!#REF!,"AAAAAHuTb8s=",0)</f>
        <v>#REF!</v>
      </c>
      <c r="GW29" t="e">
        <f>AND(Boiler!#REF!,"AAAAAHuTb8w=")</f>
        <v>#REF!</v>
      </c>
      <c r="GX29" t="e">
        <f>AND(Boiler!#REF!,"AAAAAHuTb80=")</f>
        <v>#REF!</v>
      </c>
      <c r="GY29" t="e">
        <f>AND(Boiler!#REF!,"AAAAAHuTb84=")</f>
        <v>#REF!</v>
      </c>
      <c r="GZ29" t="e">
        <f>AND(Boiler!#REF!,"AAAAAHuTb88=")</f>
        <v>#REF!</v>
      </c>
      <c r="HA29" t="e">
        <f>AND(Boiler!#REF!,"AAAAAHuTb9A=")</f>
        <v>#REF!</v>
      </c>
      <c r="HB29" t="e">
        <f>AND(Boiler!#REF!,"AAAAAHuTb9E=")</f>
        <v>#REF!</v>
      </c>
      <c r="HC29" t="e">
        <f>AND(Boiler!#REF!,"AAAAAHuTb9I=")</f>
        <v>#REF!</v>
      </c>
      <c r="HD29" t="e">
        <f>AND(Boiler!#REF!,"AAAAAHuTb9M=")</f>
        <v>#REF!</v>
      </c>
      <c r="HE29" t="e">
        <f>AND(Boiler!#REF!,"AAAAAHuTb9Q=")</f>
        <v>#REF!</v>
      </c>
      <c r="HF29" t="e">
        <f>AND(Boiler!#REF!,"AAAAAHuTb9U=")</f>
        <v>#REF!</v>
      </c>
      <c r="HG29" t="e">
        <f>AND(Boiler!#REF!,"AAAAAHuTb9Y=")</f>
        <v>#REF!</v>
      </c>
      <c r="HH29" t="e">
        <f>AND(Boiler!#REF!,"AAAAAHuTb9c=")</f>
        <v>#REF!</v>
      </c>
      <c r="HI29" t="e">
        <f>AND(Boiler!#REF!,"AAAAAHuTb9g=")</f>
        <v>#REF!</v>
      </c>
      <c r="HJ29" t="e">
        <f>AND(Boiler!#REF!,"AAAAAHuTb9k=")</f>
        <v>#REF!</v>
      </c>
      <c r="HK29" t="e">
        <f>AND(Boiler!#REF!,"AAAAAHuTb9o=")</f>
        <v>#REF!</v>
      </c>
      <c r="HL29" t="e">
        <f>IF(Boiler!#REF!,"AAAAAHuTb9s=",0)</f>
        <v>#REF!</v>
      </c>
      <c r="HM29" t="e">
        <f>AND(Boiler!#REF!,"AAAAAHuTb9w=")</f>
        <v>#REF!</v>
      </c>
      <c r="HN29" t="e">
        <f>AND(Boiler!#REF!,"AAAAAHuTb90=")</f>
        <v>#REF!</v>
      </c>
      <c r="HO29" t="e">
        <f>AND(Boiler!#REF!,"AAAAAHuTb94=")</f>
        <v>#REF!</v>
      </c>
      <c r="HP29" t="e">
        <f>AND(Boiler!#REF!,"AAAAAHuTb98=")</f>
        <v>#REF!</v>
      </c>
      <c r="HQ29" t="e">
        <f>AND(Boiler!#REF!,"AAAAAHuTb+A=")</f>
        <v>#REF!</v>
      </c>
      <c r="HR29" t="e">
        <f>AND(Boiler!#REF!,"AAAAAHuTb+E=")</f>
        <v>#REF!</v>
      </c>
      <c r="HS29" t="e">
        <f>AND(Boiler!#REF!,"AAAAAHuTb+I=")</f>
        <v>#REF!</v>
      </c>
      <c r="HT29" t="e">
        <f>AND(Boiler!#REF!,"AAAAAHuTb+M=")</f>
        <v>#REF!</v>
      </c>
      <c r="HU29" t="e">
        <f>AND(Boiler!#REF!,"AAAAAHuTb+Q=")</f>
        <v>#REF!</v>
      </c>
      <c r="HV29" t="e">
        <f>AND(Boiler!#REF!,"AAAAAHuTb+U=")</f>
        <v>#REF!</v>
      </c>
      <c r="HW29" t="e">
        <f>AND(Boiler!#REF!,"AAAAAHuTb+Y=")</f>
        <v>#REF!</v>
      </c>
      <c r="HX29" t="e">
        <f>AND(Boiler!#REF!,"AAAAAHuTb+c=")</f>
        <v>#REF!</v>
      </c>
      <c r="HY29" t="e">
        <f>AND(Boiler!#REF!,"AAAAAHuTb+g=")</f>
        <v>#REF!</v>
      </c>
      <c r="HZ29" t="e">
        <f>AND(Boiler!#REF!,"AAAAAHuTb+k=")</f>
        <v>#REF!</v>
      </c>
      <c r="IA29" t="e">
        <f>AND(Boiler!#REF!,"AAAAAHuTb+o=")</f>
        <v>#REF!</v>
      </c>
      <c r="IB29" t="e">
        <f>IF(Boiler!#REF!,"AAAAAHuTb+s=",0)</f>
        <v>#REF!</v>
      </c>
      <c r="IC29" t="e">
        <f>AND(Boiler!#REF!,"AAAAAHuTb+w=")</f>
        <v>#REF!</v>
      </c>
      <c r="ID29" t="e">
        <f>AND(Boiler!#REF!,"AAAAAHuTb+0=")</f>
        <v>#REF!</v>
      </c>
      <c r="IE29" t="e">
        <f>AND(Boiler!#REF!,"AAAAAHuTb+4=")</f>
        <v>#REF!</v>
      </c>
      <c r="IF29" t="e">
        <f>AND(Boiler!#REF!,"AAAAAHuTb+8=")</f>
        <v>#REF!</v>
      </c>
      <c r="IG29" t="e">
        <f>AND(Boiler!#REF!,"AAAAAHuTb/A=")</f>
        <v>#REF!</v>
      </c>
      <c r="IH29" t="e">
        <f>AND(Boiler!#REF!,"AAAAAHuTb/E=")</f>
        <v>#REF!</v>
      </c>
      <c r="II29" t="e">
        <f>AND(Boiler!#REF!,"AAAAAHuTb/I=")</f>
        <v>#REF!</v>
      </c>
      <c r="IJ29" t="e">
        <f>AND(Boiler!#REF!,"AAAAAHuTb/M=")</f>
        <v>#REF!</v>
      </c>
      <c r="IK29" t="e">
        <f>AND(Boiler!#REF!,"AAAAAHuTb/Q=")</f>
        <v>#REF!</v>
      </c>
      <c r="IL29" t="e">
        <f>AND(Boiler!#REF!,"AAAAAHuTb/U=")</f>
        <v>#REF!</v>
      </c>
      <c r="IM29" t="e">
        <f>AND(Boiler!#REF!,"AAAAAHuTb/Y=")</f>
        <v>#REF!</v>
      </c>
      <c r="IN29" t="e">
        <f>AND(Boiler!#REF!,"AAAAAHuTb/c=")</f>
        <v>#REF!</v>
      </c>
      <c r="IO29" t="e">
        <f>AND(Boiler!#REF!,"AAAAAHuTb/g=")</f>
        <v>#REF!</v>
      </c>
      <c r="IP29" t="e">
        <f>AND(Boiler!#REF!,"AAAAAHuTb/k=")</f>
        <v>#REF!</v>
      </c>
      <c r="IQ29" t="e">
        <f>AND(Boiler!#REF!,"AAAAAHuTb/o=")</f>
        <v>#REF!</v>
      </c>
      <c r="IR29" t="e">
        <f>IF(Boiler!#REF!,"AAAAAHuTb/s=",0)</f>
        <v>#REF!</v>
      </c>
      <c r="IS29" t="e">
        <f>AND(Boiler!#REF!,"AAAAAHuTb/w=")</f>
        <v>#REF!</v>
      </c>
      <c r="IT29" t="e">
        <f>AND(Boiler!#REF!,"AAAAAHuTb/0=")</f>
        <v>#REF!</v>
      </c>
      <c r="IU29" t="e">
        <f>AND(Boiler!#REF!,"AAAAAHuTb/4=")</f>
        <v>#REF!</v>
      </c>
      <c r="IV29" t="e">
        <f>AND(Boiler!#REF!,"AAAAAHuTb/8=")</f>
        <v>#REF!</v>
      </c>
    </row>
    <row r="30" spans="1:256">
      <c r="A30" t="e">
        <f>AND(Boiler!#REF!,"AAAAAFLo7wA=")</f>
        <v>#REF!</v>
      </c>
      <c r="B30" t="e">
        <f>AND(Boiler!#REF!,"AAAAAFLo7wE=")</f>
        <v>#REF!</v>
      </c>
      <c r="C30" t="e">
        <f>AND(Boiler!#REF!,"AAAAAFLo7wI=")</f>
        <v>#REF!</v>
      </c>
      <c r="D30" t="e">
        <f>AND(Boiler!#REF!,"AAAAAFLo7wM=")</f>
        <v>#REF!</v>
      </c>
      <c r="E30" t="e">
        <f>AND(Boiler!#REF!,"AAAAAFLo7wQ=")</f>
        <v>#REF!</v>
      </c>
      <c r="F30" t="e">
        <f>AND(Boiler!#REF!,"AAAAAFLo7wU=")</f>
        <v>#REF!</v>
      </c>
      <c r="G30" t="e">
        <f>AND(Boiler!#REF!,"AAAAAFLo7wY=")</f>
        <v>#REF!</v>
      </c>
      <c r="H30" t="e">
        <f>AND(Boiler!#REF!,"AAAAAFLo7wc=")</f>
        <v>#REF!</v>
      </c>
      <c r="I30" t="e">
        <f>AND(Boiler!#REF!,"AAAAAFLo7wg=")</f>
        <v>#REF!</v>
      </c>
      <c r="J30" t="e">
        <f>AND(Boiler!#REF!,"AAAAAFLo7wk=")</f>
        <v>#REF!</v>
      </c>
      <c r="K30" t="e">
        <f>AND(Boiler!#REF!,"AAAAAFLo7wo=")</f>
        <v>#REF!</v>
      </c>
      <c r="L30">
        <f>IF(Boiler!43:43,"AAAAAFLo7ws=",0)</f>
        <v>0</v>
      </c>
      <c r="M30" t="e">
        <f>AND(Boiler!A43,"AAAAAFLo7ww=")</f>
        <v>#VALUE!</v>
      </c>
      <c r="N30" t="e">
        <f>AND(Boiler!B43,"AAAAAFLo7w0=")</f>
        <v>#VALUE!</v>
      </c>
      <c r="O30" t="e">
        <f>AND(Boiler!C43,"AAAAAFLo7w4=")</f>
        <v>#VALUE!</v>
      </c>
      <c r="P30" t="e">
        <f>AND(Boiler!D43,"AAAAAFLo7w8=")</f>
        <v>#VALUE!</v>
      </c>
      <c r="Q30" t="e">
        <f>AND(Boiler!E43,"AAAAAFLo7xA=")</f>
        <v>#VALUE!</v>
      </c>
      <c r="R30" t="e">
        <f>AND(Boiler!F43,"AAAAAFLo7xE=")</f>
        <v>#VALUE!</v>
      </c>
      <c r="S30" t="e">
        <f>AND(Boiler!G43,"AAAAAFLo7xI=")</f>
        <v>#VALUE!</v>
      </c>
      <c r="T30" t="e">
        <f>AND(Boiler!H43,"AAAAAFLo7xM=")</f>
        <v>#VALUE!</v>
      </c>
      <c r="U30" t="e">
        <f>AND(Boiler!I43,"AAAAAFLo7xQ=")</f>
        <v>#VALUE!</v>
      </c>
      <c r="V30" t="e">
        <f>AND(Boiler!J43,"AAAAAFLo7xU=")</f>
        <v>#VALUE!</v>
      </c>
      <c r="W30" t="e">
        <f>AND(Boiler!K43,"AAAAAFLo7xY=")</f>
        <v>#VALUE!</v>
      </c>
      <c r="X30" t="e">
        <f>AND(Boiler!L43,"AAAAAFLo7xc=")</f>
        <v>#VALUE!</v>
      </c>
      <c r="Y30" t="e">
        <f>AND(Boiler!M43,"AAAAAFLo7xg=")</f>
        <v>#VALUE!</v>
      </c>
      <c r="Z30" t="e">
        <f>AND(Boiler!N43,"AAAAAFLo7xk=")</f>
        <v>#VALUE!</v>
      </c>
      <c r="AA30" t="e">
        <f>AND(Boiler!O43,"AAAAAFLo7xo=")</f>
        <v>#VALUE!</v>
      </c>
      <c r="AB30">
        <f>IF(Boiler!44:44,"AAAAAFLo7xs=",0)</f>
        <v>0</v>
      </c>
      <c r="AC30" t="e">
        <f>AND(Boiler!A44,"AAAAAFLo7xw=")</f>
        <v>#VALUE!</v>
      </c>
      <c r="AD30" t="e">
        <f>AND(Boiler!B44,"AAAAAFLo7x0=")</f>
        <v>#VALUE!</v>
      </c>
      <c r="AE30" t="e">
        <f>AND(Boiler!C44,"AAAAAFLo7x4=")</f>
        <v>#VALUE!</v>
      </c>
      <c r="AF30" t="e">
        <f>AND(Boiler!D44,"AAAAAFLo7x8=")</f>
        <v>#VALUE!</v>
      </c>
      <c r="AG30" t="e">
        <f>AND(Boiler!E44,"AAAAAFLo7yA=")</f>
        <v>#VALUE!</v>
      </c>
      <c r="AH30" t="e">
        <f>AND(Boiler!F44,"AAAAAFLo7yE=")</f>
        <v>#VALUE!</v>
      </c>
      <c r="AI30" t="e">
        <f>AND(Boiler!G44,"AAAAAFLo7yI=")</f>
        <v>#VALUE!</v>
      </c>
      <c r="AJ30" t="e">
        <f>AND(Boiler!H44,"AAAAAFLo7yM=")</f>
        <v>#VALUE!</v>
      </c>
      <c r="AK30" t="e">
        <f>AND(Boiler!I44,"AAAAAFLo7yQ=")</f>
        <v>#VALUE!</v>
      </c>
      <c r="AL30" t="e">
        <f>AND(Boiler!J44,"AAAAAFLo7yU=")</f>
        <v>#VALUE!</v>
      </c>
      <c r="AM30" t="e">
        <f>AND(Boiler!K44,"AAAAAFLo7yY=")</f>
        <v>#VALUE!</v>
      </c>
      <c r="AN30" t="e">
        <f>AND(Boiler!L44,"AAAAAFLo7yc=")</f>
        <v>#VALUE!</v>
      </c>
      <c r="AO30" t="e">
        <f>AND(Boiler!M44,"AAAAAFLo7yg=")</f>
        <v>#VALUE!</v>
      </c>
      <c r="AP30" t="e">
        <f>AND(Boiler!N44,"AAAAAFLo7yk=")</f>
        <v>#VALUE!</v>
      </c>
      <c r="AQ30" t="e">
        <f>AND(Boiler!O44,"AAAAAFLo7yo=")</f>
        <v>#VALUE!</v>
      </c>
      <c r="AR30" t="e">
        <f>IF(Boiler!#REF!,"AAAAAFLo7ys=",0)</f>
        <v>#REF!</v>
      </c>
      <c r="AS30" t="e">
        <f>AND(Boiler!#REF!,"AAAAAFLo7yw=")</f>
        <v>#REF!</v>
      </c>
      <c r="AT30" t="e">
        <f>AND(Boiler!#REF!,"AAAAAFLo7y0=")</f>
        <v>#REF!</v>
      </c>
      <c r="AU30" t="e">
        <f>AND(Boiler!#REF!,"AAAAAFLo7y4=")</f>
        <v>#REF!</v>
      </c>
      <c r="AV30" t="e">
        <f>AND(Boiler!#REF!,"AAAAAFLo7y8=")</f>
        <v>#REF!</v>
      </c>
      <c r="AW30" t="e">
        <f>AND(Boiler!#REF!,"AAAAAFLo7zA=")</f>
        <v>#REF!</v>
      </c>
      <c r="AX30" t="e">
        <f>AND(Boiler!#REF!,"AAAAAFLo7zE=")</f>
        <v>#REF!</v>
      </c>
      <c r="AY30" t="e">
        <f>AND(Boiler!#REF!,"AAAAAFLo7zI=")</f>
        <v>#REF!</v>
      </c>
      <c r="AZ30" t="e">
        <f>AND(Boiler!#REF!,"AAAAAFLo7zM=")</f>
        <v>#REF!</v>
      </c>
      <c r="BA30" t="e">
        <f>AND(Boiler!#REF!,"AAAAAFLo7zQ=")</f>
        <v>#REF!</v>
      </c>
      <c r="BB30" t="e">
        <f>AND(Boiler!#REF!,"AAAAAFLo7zU=")</f>
        <v>#REF!</v>
      </c>
      <c r="BC30" t="e">
        <f>AND(Boiler!#REF!,"AAAAAFLo7zY=")</f>
        <v>#REF!</v>
      </c>
      <c r="BD30" t="e">
        <f>AND(Boiler!#REF!,"AAAAAFLo7zc=")</f>
        <v>#REF!</v>
      </c>
      <c r="BE30" t="e">
        <f>AND(Boiler!#REF!,"AAAAAFLo7zg=")</f>
        <v>#REF!</v>
      </c>
      <c r="BF30" t="e">
        <f>AND(Boiler!#REF!,"AAAAAFLo7zk=")</f>
        <v>#REF!</v>
      </c>
      <c r="BG30" t="e">
        <f>AND(Boiler!#REF!,"AAAAAFLo7zo=")</f>
        <v>#REF!</v>
      </c>
      <c r="BH30" t="e">
        <f>IF(Boiler!#REF!,"AAAAAFLo7zs=",0)</f>
        <v>#REF!</v>
      </c>
      <c r="BI30" t="e">
        <f>AND(Boiler!#REF!,"AAAAAFLo7zw=")</f>
        <v>#REF!</v>
      </c>
      <c r="BJ30" t="e">
        <f>AND(Boiler!#REF!,"AAAAAFLo7z0=")</f>
        <v>#REF!</v>
      </c>
      <c r="BK30" t="e">
        <f>AND(Boiler!#REF!,"AAAAAFLo7z4=")</f>
        <v>#REF!</v>
      </c>
      <c r="BL30" t="e">
        <f>AND(Boiler!#REF!,"AAAAAFLo7z8=")</f>
        <v>#REF!</v>
      </c>
      <c r="BM30" t="e">
        <f>AND(Boiler!#REF!,"AAAAAFLo70A=")</f>
        <v>#REF!</v>
      </c>
      <c r="BN30" t="e">
        <f>AND(Boiler!#REF!,"AAAAAFLo70E=")</f>
        <v>#REF!</v>
      </c>
      <c r="BO30" t="e">
        <f>AND(Boiler!#REF!,"AAAAAFLo70I=")</f>
        <v>#REF!</v>
      </c>
      <c r="BP30" t="e">
        <f>AND(Boiler!#REF!,"AAAAAFLo70M=")</f>
        <v>#REF!</v>
      </c>
      <c r="BQ30" t="e">
        <f>AND(Boiler!#REF!,"AAAAAFLo70Q=")</f>
        <v>#REF!</v>
      </c>
      <c r="BR30" t="e">
        <f>AND(Boiler!#REF!,"AAAAAFLo70U=")</f>
        <v>#REF!</v>
      </c>
      <c r="BS30" t="e">
        <f>AND(Boiler!#REF!,"AAAAAFLo70Y=")</f>
        <v>#REF!</v>
      </c>
      <c r="BT30" t="e">
        <f>AND(Boiler!#REF!,"AAAAAFLo70c=")</f>
        <v>#REF!</v>
      </c>
      <c r="BU30" t="e">
        <f>AND(Boiler!#REF!,"AAAAAFLo70g=")</f>
        <v>#REF!</v>
      </c>
      <c r="BV30" t="e">
        <f>AND(Boiler!#REF!,"AAAAAFLo70k=")</f>
        <v>#REF!</v>
      </c>
      <c r="BW30" t="e">
        <f>AND(Boiler!#REF!,"AAAAAFLo70o=")</f>
        <v>#REF!</v>
      </c>
      <c r="BX30" t="e">
        <f>IF(Boiler!#REF!,"AAAAAFLo70s=",0)</f>
        <v>#REF!</v>
      </c>
      <c r="BY30" t="e">
        <f>AND(Boiler!#REF!,"AAAAAFLo70w=")</f>
        <v>#REF!</v>
      </c>
      <c r="BZ30" t="e">
        <f>AND(Boiler!#REF!,"AAAAAFLo700=")</f>
        <v>#REF!</v>
      </c>
      <c r="CA30" t="e">
        <f>AND(Boiler!#REF!,"AAAAAFLo704=")</f>
        <v>#REF!</v>
      </c>
      <c r="CB30" t="e">
        <f>AND(Boiler!#REF!,"AAAAAFLo708=")</f>
        <v>#REF!</v>
      </c>
      <c r="CC30" t="e">
        <f>AND(Boiler!#REF!,"AAAAAFLo71A=")</f>
        <v>#REF!</v>
      </c>
      <c r="CD30" t="e">
        <f>AND(Boiler!#REF!,"AAAAAFLo71E=")</f>
        <v>#REF!</v>
      </c>
      <c r="CE30" t="e">
        <f>AND(Boiler!#REF!,"AAAAAFLo71I=")</f>
        <v>#REF!</v>
      </c>
      <c r="CF30" t="e">
        <f>AND(Boiler!#REF!,"AAAAAFLo71M=")</f>
        <v>#REF!</v>
      </c>
      <c r="CG30" t="e">
        <f>AND(Boiler!#REF!,"AAAAAFLo71Q=")</f>
        <v>#REF!</v>
      </c>
      <c r="CH30" t="e">
        <f>AND(Boiler!#REF!,"AAAAAFLo71U=")</f>
        <v>#REF!</v>
      </c>
      <c r="CI30" t="e">
        <f>AND(Boiler!#REF!,"AAAAAFLo71Y=")</f>
        <v>#REF!</v>
      </c>
      <c r="CJ30" t="e">
        <f>AND(Boiler!#REF!,"AAAAAFLo71c=")</f>
        <v>#REF!</v>
      </c>
      <c r="CK30" t="e">
        <f>AND(Boiler!#REF!,"AAAAAFLo71g=")</f>
        <v>#REF!</v>
      </c>
      <c r="CL30" t="e">
        <f>AND(Boiler!#REF!,"AAAAAFLo71k=")</f>
        <v>#REF!</v>
      </c>
      <c r="CM30" t="e">
        <f>AND(Boiler!#REF!,"AAAAAFLo71o=")</f>
        <v>#REF!</v>
      </c>
      <c r="CN30" t="e">
        <f>IF(Boiler!#REF!,"AAAAAFLo71s=",0)</f>
        <v>#REF!</v>
      </c>
      <c r="CO30" t="e">
        <f>AND(Boiler!#REF!,"AAAAAFLo71w=")</f>
        <v>#REF!</v>
      </c>
      <c r="CP30" t="e">
        <f>AND(Boiler!#REF!,"AAAAAFLo710=")</f>
        <v>#REF!</v>
      </c>
      <c r="CQ30" t="e">
        <f>AND(Boiler!#REF!,"AAAAAFLo714=")</f>
        <v>#REF!</v>
      </c>
      <c r="CR30" t="e">
        <f>AND(Boiler!#REF!,"AAAAAFLo718=")</f>
        <v>#REF!</v>
      </c>
      <c r="CS30" t="e">
        <f>AND(Boiler!#REF!,"AAAAAFLo72A=")</f>
        <v>#REF!</v>
      </c>
      <c r="CT30" t="e">
        <f>AND(Boiler!#REF!,"AAAAAFLo72E=")</f>
        <v>#REF!</v>
      </c>
      <c r="CU30" t="e">
        <f>AND(Boiler!#REF!,"AAAAAFLo72I=")</f>
        <v>#REF!</v>
      </c>
      <c r="CV30" t="e">
        <f>AND(Boiler!#REF!,"AAAAAFLo72M=")</f>
        <v>#REF!</v>
      </c>
      <c r="CW30" t="e">
        <f>AND(Boiler!#REF!,"AAAAAFLo72Q=")</f>
        <v>#REF!</v>
      </c>
      <c r="CX30" t="e">
        <f>AND(Boiler!#REF!,"AAAAAFLo72U=")</f>
        <v>#REF!</v>
      </c>
      <c r="CY30" t="e">
        <f>AND(Boiler!#REF!,"AAAAAFLo72Y=")</f>
        <v>#REF!</v>
      </c>
      <c r="CZ30" t="e">
        <f>AND(Boiler!#REF!,"AAAAAFLo72c=")</f>
        <v>#REF!</v>
      </c>
      <c r="DA30" t="e">
        <f>AND(Boiler!#REF!,"AAAAAFLo72g=")</f>
        <v>#REF!</v>
      </c>
      <c r="DB30" t="e">
        <f>AND(Boiler!#REF!,"AAAAAFLo72k=")</f>
        <v>#REF!</v>
      </c>
      <c r="DC30" t="e">
        <f>AND(Boiler!#REF!,"AAAAAFLo72o=")</f>
        <v>#REF!</v>
      </c>
      <c r="DD30" t="e">
        <f>IF(Boiler!#REF!,"AAAAAFLo72s=",0)</f>
        <v>#REF!</v>
      </c>
      <c r="DE30" t="e">
        <f>AND(Boiler!#REF!,"AAAAAFLo72w=")</f>
        <v>#REF!</v>
      </c>
      <c r="DF30" t="e">
        <f>AND(Boiler!#REF!,"AAAAAFLo720=")</f>
        <v>#REF!</v>
      </c>
      <c r="DG30" t="e">
        <f>AND(Boiler!#REF!,"AAAAAFLo724=")</f>
        <v>#REF!</v>
      </c>
      <c r="DH30" t="e">
        <f>AND(Boiler!#REF!,"AAAAAFLo728=")</f>
        <v>#REF!</v>
      </c>
      <c r="DI30" t="e">
        <f>AND(Boiler!#REF!,"AAAAAFLo73A=")</f>
        <v>#REF!</v>
      </c>
      <c r="DJ30" t="e">
        <f>AND(Boiler!#REF!,"AAAAAFLo73E=")</f>
        <v>#REF!</v>
      </c>
      <c r="DK30" t="e">
        <f>AND(Boiler!#REF!,"AAAAAFLo73I=")</f>
        <v>#REF!</v>
      </c>
      <c r="DL30" t="e">
        <f>AND(Boiler!#REF!,"AAAAAFLo73M=")</f>
        <v>#REF!</v>
      </c>
      <c r="DM30" t="e">
        <f>AND(Boiler!#REF!,"AAAAAFLo73Q=")</f>
        <v>#REF!</v>
      </c>
      <c r="DN30" t="e">
        <f>AND(Boiler!#REF!,"AAAAAFLo73U=")</f>
        <v>#REF!</v>
      </c>
      <c r="DO30" t="e">
        <f>AND(Boiler!#REF!,"AAAAAFLo73Y=")</f>
        <v>#REF!</v>
      </c>
      <c r="DP30" t="e">
        <f>AND(Boiler!#REF!,"AAAAAFLo73c=")</f>
        <v>#REF!</v>
      </c>
      <c r="DQ30" t="e">
        <f>AND(Boiler!#REF!,"AAAAAFLo73g=")</f>
        <v>#REF!</v>
      </c>
      <c r="DR30" t="e">
        <f>AND(Boiler!#REF!,"AAAAAFLo73k=")</f>
        <v>#REF!</v>
      </c>
      <c r="DS30" t="e">
        <f>AND(Boiler!#REF!,"AAAAAFLo73o=")</f>
        <v>#REF!</v>
      </c>
      <c r="DT30" t="e">
        <f>IF(Boiler!#REF!,"AAAAAFLo73s=",0)</f>
        <v>#REF!</v>
      </c>
      <c r="DU30" t="e">
        <f>AND(Boiler!#REF!,"AAAAAFLo73w=")</f>
        <v>#REF!</v>
      </c>
      <c r="DV30" t="e">
        <f>AND(Boiler!#REF!,"AAAAAFLo730=")</f>
        <v>#REF!</v>
      </c>
      <c r="DW30" t="e">
        <f>AND(Boiler!#REF!,"AAAAAFLo734=")</f>
        <v>#REF!</v>
      </c>
      <c r="DX30" t="e">
        <f>AND(Boiler!#REF!,"AAAAAFLo738=")</f>
        <v>#REF!</v>
      </c>
      <c r="DY30" t="e">
        <f>AND(Boiler!#REF!,"AAAAAFLo74A=")</f>
        <v>#REF!</v>
      </c>
      <c r="DZ30" t="e">
        <f>AND(Boiler!#REF!,"AAAAAFLo74E=")</f>
        <v>#REF!</v>
      </c>
      <c r="EA30" t="e">
        <f>AND(Boiler!#REF!,"AAAAAFLo74I=")</f>
        <v>#REF!</v>
      </c>
      <c r="EB30" t="e">
        <f>AND(Boiler!#REF!,"AAAAAFLo74M=")</f>
        <v>#REF!</v>
      </c>
      <c r="EC30" t="e">
        <f>AND(Boiler!#REF!,"AAAAAFLo74Q=")</f>
        <v>#REF!</v>
      </c>
      <c r="ED30" t="e">
        <f>AND(Boiler!#REF!,"AAAAAFLo74U=")</f>
        <v>#REF!</v>
      </c>
      <c r="EE30" t="e">
        <f>AND(Boiler!#REF!,"AAAAAFLo74Y=")</f>
        <v>#REF!</v>
      </c>
      <c r="EF30" t="e">
        <f>AND(Boiler!#REF!,"AAAAAFLo74c=")</f>
        <v>#REF!</v>
      </c>
      <c r="EG30" t="e">
        <f>AND(Boiler!#REF!,"AAAAAFLo74g=")</f>
        <v>#REF!</v>
      </c>
      <c r="EH30" t="e">
        <f>AND(Boiler!#REF!,"AAAAAFLo74k=")</f>
        <v>#REF!</v>
      </c>
      <c r="EI30" t="e">
        <f>AND(Boiler!#REF!,"AAAAAFLo74o=")</f>
        <v>#REF!</v>
      </c>
      <c r="EJ30" t="e">
        <f>IF(Boiler!#REF!,"AAAAAFLo74s=",0)</f>
        <v>#REF!</v>
      </c>
      <c r="EK30" t="e">
        <f>AND(Boiler!#REF!,"AAAAAFLo74w=")</f>
        <v>#REF!</v>
      </c>
      <c r="EL30" t="e">
        <f>AND(Boiler!#REF!,"AAAAAFLo740=")</f>
        <v>#REF!</v>
      </c>
      <c r="EM30" t="e">
        <f>AND(Boiler!#REF!,"AAAAAFLo744=")</f>
        <v>#REF!</v>
      </c>
      <c r="EN30" t="e">
        <f>AND(Boiler!#REF!,"AAAAAFLo748=")</f>
        <v>#REF!</v>
      </c>
      <c r="EO30" t="e">
        <f>AND(Boiler!#REF!,"AAAAAFLo75A=")</f>
        <v>#REF!</v>
      </c>
      <c r="EP30" t="e">
        <f>AND(Boiler!#REF!,"AAAAAFLo75E=")</f>
        <v>#REF!</v>
      </c>
      <c r="EQ30" t="e">
        <f>AND(Boiler!#REF!,"AAAAAFLo75I=")</f>
        <v>#REF!</v>
      </c>
      <c r="ER30" t="e">
        <f>AND(Boiler!#REF!,"AAAAAFLo75M=")</f>
        <v>#REF!</v>
      </c>
      <c r="ES30" t="e">
        <f>AND(Boiler!#REF!,"AAAAAFLo75Q=")</f>
        <v>#REF!</v>
      </c>
      <c r="ET30" t="e">
        <f>AND(Boiler!#REF!,"AAAAAFLo75U=")</f>
        <v>#REF!</v>
      </c>
      <c r="EU30" t="e">
        <f>AND(Boiler!#REF!,"AAAAAFLo75Y=")</f>
        <v>#REF!</v>
      </c>
      <c r="EV30" t="e">
        <f>AND(Boiler!#REF!,"AAAAAFLo75c=")</f>
        <v>#REF!</v>
      </c>
      <c r="EW30" t="e">
        <f>AND(Boiler!#REF!,"AAAAAFLo75g=")</f>
        <v>#REF!</v>
      </c>
      <c r="EX30" t="e">
        <f>AND(Boiler!#REF!,"AAAAAFLo75k=")</f>
        <v>#REF!</v>
      </c>
      <c r="EY30" t="e">
        <f>AND(Boiler!#REF!,"AAAAAFLo75o=")</f>
        <v>#REF!</v>
      </c>
      <c r="EZ30" t="e">
        <f>IF(Boiler!#REF!,"AAAAAFLo75s=",0)</f>
        <v>#REF!</v>
      </c>
      <c r="FA30" t="e">
        <f>AND(Boiler!#REF!,"AAAAAFLo75w=")</f>
        <v>#REF!</v>
      </c>
      <c r="FB30" t="e">
        <f>AND(Boiler!#REF!,"AAAAAFLo750=")</f>
        <v>#REF!</v>
      </c>
      <c r="FC30" t="e">
        <f>AND(Boiler!#REF!,"AAAAAFLo754=")</f>
        <v>#REF!</v>
      </c>
      <c r="FD30" t="e">
        <f>AND(Boiler!#REF!,"AAAAAFLo758=")</f>
        <v>#REF!</v>
      </c>
      <c r="FE30" t="e">
        <f>AND(Boiler!#REF!,"AAAAAFLo76A=")</f>
        <v>#REF!</v>
      </c>
      <c r="FF30" t="e">
        <f>AND(Boiler!#REF!,"AAAAAFLo76E=")</f>
        <v>#REF!</v>
      </c>
      <c r="FG30" t="e">
        <f>AND(Boiler!#REF!,"AAAAAFLo76I=")</f>
        <v>#REF!</v>
      </c>
      <c r="FH30" t="e">
        <f>AND(Boiler!#REF!,"AAAAAFLo76M=")</f>
        <v>#REF!</v>
      </c>
      <c r="FI30" t="e">
        <f>AND(Boiler!#REF!,"AAAAAFLo76Q=")</f>
        <v>#REF!</v>
      </c>
      <c r="FJ30" t="e">
        <f>AND(Boiler!#REF!,"AAAAAFLo76U=")</f>
        <v>#REF!</v>
      </c>
      <c r="FK30" t="e">
        <f>AND(Boiler!#REF!,"AAAAAFLo76Y=")</f>
        <v>#REF!</v>
      </c>
      <c r="FL30" t="e">
        <f>AND(Boiler!#REF!,"AAAAAFLo76c=")</f>
        <v>#REF!</v>
      </c>
      <c r="FM30" t="e">
        <f>AND(Boiler!#REF!,"AAAAAFLo76g=")</f>
        <v>#REF!</v>
      </c>
      <c r="FN30" t="e">
        <f>AND(Boiler!#REF!,"AAAAAFLo76k=")</f>
        <v>#REF!</v>
      </c>
      <c r="FO30" t="e">
        <f>AND(Boiler!#REF!,"AAAAAFLo76o=")</f>
        <v>#REF!</v>
      </c>
      <c r="FP30" t="e">
        <f>IF(Boiler!#REF!,"AAAAAFLo76s=",0)</f>
        <v>#REF!</v>
      </c>
      <c r="FQ30" t="e">
        <f>AND(Boiler!#REF!,"AAAAAFLo76w=")</f>
        <v>#REF!</v>
      </c>
      <c r="FR30" t="e">
        <f>AND(Boiler!#REF!,"AAAAAFLo760=")</f>
        <v>#REF!</v>
      </c>
      <c r="FS30" t="e">
        <f>AND(Boiler!#REF!,"AAAAAFLo764=")</f>
        <v>#REF!</v>
      </c>
      <c r="FT30" t="e">
        <f>AND(Boiler!#REF!,"AAAAAFLo768=")</f>
        <v>#REF!</v>
      </c>
      <c r="FU30" t="e">
        <f>AND(Boiler!#REF!,"AAAAAFLo77A=")</f>
        <v>#REF!</v>
      </c>
      <c r="FV30" t="e">
        <f>AND(Boiler!#REF!,"AAAAAFLo77E=")</f>
        <v>#REF!</v>
      </c>
      <c r="FW30" t="e">
        <f>AND(Boiler!#REF!,"AAAAAFLo77I=")</f>
        <v>#REF!</v>
      </c>
      <c r="FX30" t="e">
        <f>AND(Boiler!#REF!,"AAAAAFLo77M=")</f>
        <v>#REF!</v>
      </c>
      <c r="FY30" t="e">
        <f>AND(Boiler!#REF!,"AAAAAFLo77Q=")</f>
        <v>#REF!</v>
      </c>
      <c r="FZ30" t="e">
        <f>AND(Boiler!#REF!,"AAAAAFLo77U=")</f>
        <v>#REF!</v>
      </c>
      <c r="GA30" t="e">
        <f>AND(Boiler!#REF!,"AAAAAFLo77Y=")</f>
        <v>#REF!</v>
      </c>
      <c r="GB30" t="e">
        <f>AND(Boiler!#REF!,"AAAAAFLo77c=")</f>
        <v>#REF!</v>
      </c>
      <c r="GC30" t="e">
        <f>AND(Boiler!#REF!,"AAAAAFLo77g=")</f>
        <v>#REF!</v>
      </c>
      <c r="GD30" t="e">
        <f>AND(Boiler!#REF!,"AAAAAFLo77k=")</f>
        <v>#REF!</v>
      </c>
      <c r="GE30" t="e">
        <f>AND(Boiler!#REF!,"AAAAAFLo77o=")</f>
        <v>#REF!</v>
      </c>
      <c r="GF30" t="e">
        <f>IF(Boiler!#REF!,"AAAAAFLo77s=",0)</f>
        <v>#REF!</v>
      </c>
      <c r="GG30" t="e">
        <f>AND(Boiler!#REF!,"AAAAAFLo77w=")</f>
        <v>#REF!</v>
      </c>
      <c r="GH30" t="e">
        <f>AND(Boiler!#REF!,"AAAAAFLo770=")</f>
        <v>#REF!</v>
      </c>
      <c r="GI30" t="e">
        <f>AND(Boiler!#REF!,"AAAAAFLo774=")</f>
        <v>#REF!</v>
      </c>
      <c r="GJ30" t="e">
        <f>AND(Boiler!#REF!,"AAAAAFLo778=")</f>
        <v>#REF!</v>
      </c>
      <c r="GK30" t="e">
        <f>AND(Boiler!#REF!,"AAAAAFLo78A=")</f>
        <v>#REF!</v>
      </c>
      <c r="GL30" t="e">
        <f>AND(Boiler!#REF!,"AAAAAFLo78E=")</f>
        <v>#REF!</v>
      </c>
      <c r="GM30" t="e">
        <f>AND(Boiler!#REF!,"AAAAAFLo78I=")</f>
        <v>#REF!</v>
      </c>
      <c r="GN30" t="e">
        <f>AND(Boiler!#REF!,"AAAAAFLo78M=")</f>
        <v>#REF!</v>
      </c>
      <c r="GO30" t="e">
        <f>AND(Boiler!#REF!,"AAAAAFLo78Q=")</f>
        <v>#REF!</v>
      </c>
      <c r="GP30" t="e">
        <f>AND(Boiler!#REF!,"AAAAAFLo78U=")</f>
        <v>#REF!</v>
      </c>
      <c r="GQ30" t="e">
        <f>AND(Boiler!#REF!,"AAAAAFLo78Y=")</f>
        <v>#REF!</v>
      </c>
      <c r="GR30" t="e">
        <f>AND(Boiler!#REF!,"AAAAAFLo78c=")</f>
        <v>#REF!</v>
      </c>
      <c r="GS30" t="e">
        <f>AND(Boiler!#REF!,"AAAAAFLo78g=")</f>
        <v>#REF!</v>
      </c>
      <c r="GT30" t="e">
        <f>AND(Boiler!#REF!,"AAAAAFLo78k=")</f>
        <v>#REF!</v>
      </c>
      <c r="GU30" t="e">
        <f>AND(Boiler!#REF!,"AAAAAFLo78o=")</f>
        <v>#REF!</v>
      </c>
      <c r="GV30" t="e">
        <f>IF(Boiler!#REF!,"AAAAAFLo78s=",0)</f>
        <v>#REF!</v>
      </c>
      <c r="GW30" t="e">
        <f>AND(Boiler!#REF!,"AAAAAFLo78w=")</f>
        <v>#REF!</v>
      </c>
      <c r="GX30" t="e">
        <f>AND(Boiler!#REF!,"AAAAAFLo780=")</f>
        <v>#REF!</v>
      </c>
      <c r="GY30" t="e">
        <f>AND(Boiler!#REF!,"AAAAAFLo784=")</f>
        <v>#REF!</v>
      </c>
      <c r="GZ30" t="e">
        <f>AND(Boiler!#REF!,"AAAAAFLo788=")</f>
        <v>#REF!</v>
      </c>
      <c r="HA30" t="e">
        <f>AND(Boiler!#REF!,"AAAAAFLo79A=")</f>
        <v>#REF!</v>
      </c>
      <c r="HB30" t="e">
        <f>AND(Boiler!#REF!,"AAAAAFLo79E=")</f>
        <v>#REF!</v>
      </c>
      <c r="HC30" t="e">
        <f>AND(Boiler!#REF!,"AAAAAFLo79I=")</f>
        <v>#REF!</v>
      </c>
      <c r="HD30" t="e">
        <f>AND(Boiler!#REF!,"AAAAAFLo79M=")</f>
        <v>#REF!</v>
      </c>
      <c r="HE30" t="e">
        <f>AND(Boiler!#REF!,"AAAAAFLo79Q=")</f>
        <v>#REF!</v>
      </c>
      <c r="HF30" t="e">
        <f>AND(Boiler!#REF!,"AAAAAFLo79U=")</f>
        <v>#REF!</v>
      </c>
      <c r="HG30" t="e">
        <f>AND(Boiler!#REF!,"AAAAAFLo79Y=")</f>
        <v>#REF!</v>
      </c>
      <c r="HH30" t="e">
        <f>AND(Boiler!#REF!,"AAAAAFLo79c=")</f>
        <v>#REF!</v>
      </c>
      <c r="HI30" t="e">
        <f>AND(Boiler!#REF!,"AAAAAFLo79g=")</f>
        <v>#REF!</v>
      </c>
      <c r="HJ30" t="e">
        <f>AND(Boiler!#REF!,"AAAAAFLo79k=")</f>
        <v>#REF!</v>
      </c>
      <c r="HK30" t="e">
        <f>AND(Boiler!#REF!,"AAAAAFLo79o=")</f>
        <v>#REF!</v>
      </c>
      <c r="HL30" t="e">
        <f>IF(Boiler!#REF!,"AAAAAFLo79s=",0)</f>
        <v>#REF!</v>
      </c>
      <c r="HM30" t="e">
        <f>AND(Boiler!#REF!,"AAAAAFLo79w=")</f>
        <v>#REF!</v>
      </c>
      <c r="HN30" t="e">
        <f>AND(Boiler!#REF!,"AAAAAFLo790=")</f>
        <v>#REF!</v>
      </c>
      <c r="HO30" t="e">
        <f>AND(Boiler!#REF!,"AAAAAFLo794=")</f>
        <v>#REF!</v>
      </c>
      <c r="HP30" t="e">
        <f>AND(Boiler!#REF!,"AAAAAFLo798=")</f>
        <v>#REF!</v>
      </c>
      <c r="HQ30" t="e">
        <f>AND(Boiler!#REF!,"AAAAAFLo7+A=")</f>
        <v>#REF!</v>
      </c>
      <c r="HR30" t="e">
        <f>AND(Boiler!#REF!,"AAAAAFLo7+E=")</f>
        <v>#REF!</v>
      </c>
      <c r="HS30" t="e">
        <f>AND(Boiler!#REF!,"AAAAAFLo7+I=")</f>
        <v>#REF!</v>
      </c>
      <c r="HT30" t="e">
        <f>AND(Boiler!#REF!,"AAAAAFLo7+M=")</f>
        <v>#REF!</v>
      </c>
      <c r="HU30" t="e">
        <f>AND(Boiler!#REF!,"AAAAAFLo7+Q=")</f>
        <v>#REF!</v>
      </c>
      <c r="HV30" t="e">
        <f>AND(Boiler!#REF!,"AAAAAFLo7+U=")</f>
        <v>#REF!</v>
      </c>
      <c r="HW30" t="e">
        <f>AND(Boiler!#REF!,"AAAAAFLo7+Y=")</f>
        <v>#REF!</v>
      </c>
      <c r="HX30" t="e">
        <f>AND(Boiler!#REF!,"AAAAAFLo7+c=")</f>
        <v>#REF!</v>
      </c>
      <c r="HY30" t="e">
        <f>AND(Boiler!#REF!,"AAAAAFLo7+g=")</f>
        <v>#REF!</v>
      </c>
      <c r="HZ30" t="e">
        <f>AND(Boiler!#REF!,"AAAAAFLo7+k=")</f>
        <v>#REF!</v>
      </c>
      <c r="IA30" t="e">
        <f>AND(Boiler!#REF!,"AAAAAFLo7+o=")</f>
        <v>#REF!</v>
      </c>
      <c r="IB30" t="e">
        <f>IF(Boiler!#REF!,"AAAAAFLo7+s=",0)</f>
        <v>#REF!</v>
      </c>
      <c r="IC30" t="e">
        <f>AND(Boiler!#REF!,"AAAAAFLo7+w=")</f>
        <v>#REF!</v>
      </c>
      <c r="ID30" t="e">
        <f>AND(Boiler!#REF!,"AAAAAFLo7+0=")</f>
        <v>#REF!</v>
      </c>
      <c r="IE30" t="e">
        <f>AND(Boiler!#REF!,"AAAAAFLo7+4=")</f>
        <v>#REF!</v>
      </c>
      <c r="IF30" t="e">
        <f>AND(Boiler!#REF!,"AAAAAFLo7+8=")</f>
        <v>#REF!</v>
      </c>
      <c r="IG30" t="e">
        <f>AND(Boiler!#REF!,"AAAAAFLo7/A=")</f>
        <v>#REF!</v>
      </c>
      <c r="IH30" t="e">
        <f>AND(Boiler!#REF!,"AAAAAFLo7/E=")</f>
        <v>#REF!</v>
      </c>
      <c r="II30" t="e">
        <f>AND(Boiler!#REF!,"AAAAAFLo7/I=")</f>
        <v>#REF!</v>
      </c>
      <c r="IJ30" t="e">
        <f>AND(Boiler!#REF!,"AAAAAFLo7/M=")</f>
        <v>#REF!</v>
      </c>
      <c r="IK30" t="e">
        <f>AND(Boiler!#REF!,"AAAAAFLo7/Q=")</f>
        <v>#REF!</v>
      </c>
      <c r="IL30" t="e">
        <f>AND(Boiler!#REF!,"AAAAAFLo7/U=")</f>
        <v>#REF!</v>
      </c>
      <c r="IM30" t="e">
        <f>AND(Boiler!#REF!,"AAAAAFLo7/Y=")</f>
        <v>#REF!</v>
      </c>
      <c r="IN30" t="e">
        <f>AND(Boiler!#REF!,"AAAAAFLo7/c=")</f>
        <v>#REF!</v>
      </c>
      <c r="IO30" t="e">
        <f>AND(Boiler!#REF!,"AAAAAFLo7/g=")</f>
        <v>#REF!</v>
      </c>
      <c r="IP30" t="e">
        <f>AND(Boiler!#REF!,"AAAAAFLo7/k=")</f>
        <v>#REF!</v>
      </c>
      <c r="IQ30" t="e">
        <f>AND(Boiler!#REF!,"AAAAAFLo7/o=")</f>
        <v>#REF!</v>
      </c>
      <c r="IR30" t="e">
        <f>IF(Boiler!#REF!,"AAAAAFLo7/s=",0)</f>
        <v>#REF!</v>
      </c>
      <c r="IS30" t="e">
        <f>AND(Boiler!#REF!,"AAAAAFLo7/w=")</f>
        <v>#REF!</v>
      </c>
      <c r="IT30" t="e">
        <f>AND(Boiler!#REF!,"AAAAAFLo7/0=")</f>
        <v>#REF!</v>
      </c>
      <c r="IU30" t="e">
        <f>AND(Boiler!#REF!,"AAAAAFLo7/4=")</f>
        <v>#REF!</v>
      </c>
      <c r="IV30" t="e">
        <f>AND(Boiler!#REF!,"AAAAAFLo7/8=")</f>
        <v>#REF!</v>
      </c>
    </row>
    <row r="31" spans="1:256">
      <c r="A31" t="e">
        <f>AND(Boiler!#REF!,"AAAAAD+/vgA=")</f>
        <v>#REF!</v>
      </c>
      <c r="B31" t="e">
        <f>AND(Boiler!#REF!,"AAAAAD+/vgE=")</f>
        <v>#REF!</v>
      </c>
      <c r="C31" t="e">
        <f>AND(Boiler!#REF!,"AAAAAD+/vgI=")</f>
        <v>#REF!</v>
      </c>
      <c r="D31" t="e">
        <f>AND(Boiler!#REF!,"AAAAAD+/vgM=")</f>
        <v>#REF!</v>
      </c>
      <c r="E31" t="e">
        <f>AND(Boiler!#REF!,"AAAAAD+/vgQ=")</f>
        <v>#REF!</v>
      </c>
      <c r="F31" t="e">
        <f>AND(Boiler!#REF!,"AAAAAD+/vgU=")</f>
        <v>#REF!</v>
      </c>
      <c r="G31" t="e">
        <f>AND(Boiler!#REF!,"AAAAAD+/vgY=")</f>
        <v>#REF!</v>
      </c>
      <c r="H31" t="e">
        <f>AND(Boiler!#REF!,"AAAAAD+/vgc=")</f>
        <v>#REF!</v>
      </c>
      <c r="I31" t="e">
        <f>AND(Boiler!#REF!,"AAAAAD+/vgg=")</f>
        <v>#REF!</v>
      </c>
      <c r="J31" t="e">
        <f>AND(Boiler!#REF!,"AAAAAD+/vgk=")</f>
        <v>#REF!</v>
      </c>
      <c r="K31" t="e">
        <f>AND(Boiler!#REF!,"AAAAAD+/vgo=")</f>
        <v>#REF!</v>
      </c>
      <c r="L31" t="e">
        <f>IF(Boiler!#REF!,"AAAAAD+/vgs=",0)</f>
        <v>#REF!</v>
      </c>
      <c r="M31" t="e">
        <f>AND(Boiler!#REF!,"AAAAAD+/vgw=")</f>
        <v>#REF!</v>
      </c>
      <c r="N31" t="e">
        <f>AND(Boiler!#REF!,"AAAAAD+/vg0=")</f>
        <v>#REF!</v>
      </c>
      <c r="O31" t="e">
        <f>AND(Boiler!#REF!,"AAAAAD+/vg4=")</f>
        <v>#REF!</v>
      </c>
      <c r="P31" t="e">
        <f>AND(Boiler!#REF!,"AAAAAD+/vg8=")</f>
        <v>#REF!</v>
      </c>
      <c r="Q31" t="e">
        <f>AND(Boiler!#REF!,"AAAAAD+/vhA=")</f>
        <v>#REF!</v>
      </c>
      <c r="R31" t="e">
        <f>AND(Boiler!#REF!,"AAAAAD+/vhE=")</f>
        <v>#REF!</v>
      </c>
      <c r="S31" t="e">
        <f>AND(Boiler!#REF!,"AAAAAD+/vhI=")</f>
        <v>#REF!</v>
      </c>
      <c r="T31" t="e">
        <f>AND(Boiler!#REF!,"AAAAAD+/vhM=")</f>
        <v>#REF!</v>
      </c>
      <c r="U31" t="e">
        <f>AND(Boiler!#REF!,"AAAAAD+/vhQ=")</f>
        <v>#REF!</v>
      </c>
      <c r="V31" t="e">
        <f>AND(Boiler!#REF!,"AAAAAD+/vhU=")</f>
        <v>#REF!</v>
      </c>
      <c r="W31" t="e">
        <f>AND(Boiler!#REF!,"AAAAAD+/vhY=")</f>
        <v>#REF!</v>
      </c>
      <c r="X31" t="e">
        <f>AND(Boiler!#REF!,"AAAAAD+/vhc=")</f>
        <v>#REF!</v>
      </c>
      <c r="Y31" t="e">
        <f>AND(Boiler!#REF!,"AAAAAD+/vhg=")</f>
        <v>#REF!</v>
      </c>
      <c r="Z31" t="e">
        <f>AND(Boiler!#REF!,"AAAAAD+/vhk=")</f>
        <v>#REF!</v>
      </c>
      <c r="AA31" t="e">
        <f>AND(Boiler!#REF!,"AAAAAD+/vho=")</f>
        <v>#REF!</v>
      </c>
      <c r="AB31" t="e">
        <f>IF(Boiler!#REF!,"AAAAAD+/vhs=",0)</f>
        <v>#REF!</v>
      </c>
      <c r="AC31" t="e">
        <f>AND(Boiler!#REF!,"AAAAAD+/vhw=")</f>
        <v>#REF!</v>
      </c>
      <c r="AD31" t="e">
        <f>AND(Boiler!#REF!,"AAAAAD+/vh0=")</f>
        <v>#REF!</v>
      </c>
      <c r="AE31" t="e">
        <f>AND(Boiler!#REF!,"AAAAAD+/vh4=")</f>
        <v>#REF!</v>
      </c>
      <c r="AF31" t="e">
        <f>AND(Boiler!#REF!,"AAAAAD+/vh8=")</f>
        <v>#REF!</v>
      </c>
      <c r="AG31" t="e">
        <f>AND(Boiler!#REF!,"AAAAAD+/viA=")</f>
        <v>#REF!</v>
      </c>
      <c r="AH31" t="e">
        <f>AND(Boiler!#REF!,"AAAAAD+/viE=")</f>
        <v>#REF!</v>
      </c>
      <c r="AI31" t="e">
        <f>AND(Boiler!#REF!,"AAAAAD+/viI=")</f>
        <v>#REF!</v>
      </c>
      <c r="AJ31" t="e">
        <f>AND(Boiler!#REF!,"AAAAAD+/viM=")</f>
        <v>#REF!</v>
      </c>
      <c r="AK31" t="e">
        <f>AND(Boiler!#REF!,"AAAAAD+/viQ=")</f>
        <v>#REF!</v>
      </c>
      <c r="AL31" t="e">
        <f>AND(Boiler!#REF!,"AAAAAD+/viU=")</f>
        <v>#REF!</v>
      </c>
      <c r="AM31" t="e">
        <f>AND(Boiler!#REF!,"AAAAAD+/viY=")</f>
        <v>#REF!</v>
      </c>
      <c r="AN31" t="e">
        <f>AND(Boiler!#REF!,"AAAAAD+/vic=")</f>
        <v>#REF!</v>
      </c>
      <c r="AO31" t="e">
        <f>AND(Boiler!#REF!,"AAAAAD+/vig=")</f>
        <v>#REF!</v>
      </c>
      <c r="AP31" t="e">
        <f>AND(Boiler!#REF!,"AAAAAD+/vik=")</f>
        <v>#REF!</v>
      </c>
      <c r="AQ31" t="e">
        <f>AND(Boiler!#REF!,"AAAAAD+/vio=")</f>
        <v>#REF!</v>
      </c>
      <c r="AR31" t="e">
        <f>IF(Boiler!#REF!,"AAAAAD+/vis=",0)</f>
        <v>#REF!</v>
      </c>
      <c r="AS31" t="e">
        <f>AND(Boiler!#REF!,"AAAAAD+/viw=")</f>
        <v>#REF!</v>
      </c>
      <c r="AT31" t="e">
        <f>AND(Boiler!#REF!,"AAAAAD+/vi0=")</f>
        <v>#REF!</v>
      </c>
      <c r="AU31" t="e">
        <f>AND(Boiler!#REF!,"AAAAAD+/vi4=")</f>
        <v>#REF!</v>
      </c>
      <c r="AV31" t="e">
        <f>AND(Boiler!#REF!,"AAAAAD+/vi8=")</f>
        <v>#REF!</v>
      </c>
      <c r="AW31" t="e">
        <f>AND(Boiler!#REF!,"AAAAAD+/vjA=")</f>
        <v>#REF!</v>
      </c>
      <c r="AX31" t="e">
        <f>AND(Boiler!#REF!,"AAAAAD+/vjE=")</f>
        <v>#REF!</v>
      </c>
      <c r="AY31" t="e">
        <f>AND(Boiler!#REF!,"AAAAAD+/vjI=")</f>
        <v>#REF!</v>
      </c>
      <c r="AZ31" t="e">
        <f>AND(Boiler!#REF!,"AAAAAD+/vjM=")</f>
        <v>#REF!</v>
      </c>
      <c r="BA31" t="e">
        <f>AND(Boiler!#REF!,"AAAAAD+/vjQ=")</f>
        <v>#REF!</v>
      </c>
      <c r="BB31" t="e">
        <f>AND(Boiler!#REF!,"AAAAAD+/vjU=")</f>
        <v>#REF!</v>
      </c>
      <c r="BC31" t="e">
        <f>AND(Boiler!#REF!,"AAAAAD+/vjY=")</f>
        <v>#REF!</v>
      </c>
      <c r="BD31" t="e">
        <f>AND(Boiler!#REF!,"AAAAAD+/vjc=")</f>
        <v>#REF!</v>
      </c>
      <c r="BE31" t="e">
        <f>AND(Boiler!#REF!,"AAAAAD+/vjg=")</f>
        <v>#REF!</v>
      </c>
      <c r="BF31" t="e">
        <f>AND(Boiler!#REF!,"AAAAAD+/vjk=")</f>
        <v>#REF!</v>
      </c>
      <c r="BG31" t="e">
        <f>AND(Boiler!#REF!,"AAAAAD+/vjo=")</f>
        <v>#REF!</v>
      </c>
      <c r="BH31" t="e">
        <f>IF(Boiler!#REF!,"AAAAAD+/vjs=",0)</f>
        <v>#REF!</v>
      </c>
      <c r="BI31" t="e">
        <f>AND(Boiler!#REF!,"AAAAAD+/vjw=")</f>
        <v>#REF!</v>
      </c>
      <c r="BJ31" t="e">
        <f>AND(Boiler!#REF!,"AAAAAD+/vj0=")</f>
        <v>#REF!</v>
      </c>
      <c r="BK31" t="e">
        <f>AND(Boiler!#REF!,"AAAAAD+/vj4=")</f>
        <v>#REF!</v>
      </c>
      <c r="BL31" t="e">
        <f>AND(Boiler!#REF!,"AAAAAD+/vj8=")</f>
        <v>#REF!</v>
      </c>
      <c r="BM31" t="e">
        <f>AND(Boiler!#REF!,"AAAAAD+/vkA=")</f>
        <v>#REF!</v>
      </c>
      <c r="BN31" t="e">
        <f>AND(Boiler!#REF!,"AAAAAD+/vkE=")</f>
        <v>#REF!</v>
      </c>
      <c r="BO31" t="e">
        <f>AND(Boiler!#REF!,"AAAAAD+/vkI=")</f>
        <v>#REF!</v>
      </c>
      <c r="BP31" t="e">
        <f>AND(Boiler!#REF!,"AAAAAD+/vkM=")</f>
        <v>#REF!</v>
      </c>
      <c r="BQ31" t="e">
        <f>AND(Boiler!#REF!,"AAAAAD+/vkQ=")</f>
        <v>#REF!</v>
      </c>
      <c r="BR31" t="e">
        <f>AND(Boiler!#REF!,"AAAAAD+/vkU=")</f>
        <v>#REF!</v>
      </c>
      <c r="BS31" t="e">
        <f>AND(Boiler!#REF!,"AAAAAD+/vkY=")</f>
        <v>#REF!</v>
      </c>
      <c r="BT31" t="e">
        <f>AND(Boiler!#REF!,"AAAAAD+/vkc=")</f>
        <v>#REF!</v>
      </c>
      <c r="BU31" t="e">
        <f>AND(Boiler!#REF!,"AAAAAD+/vkg=")</f>
        <v>#REF!</v>
      </c>
      <c r="BV31" t="e">
        <f>AND(Boiler!#REF!,"AAAAAD+/vkk=")</f>
        <v>#REF!</v>
      </c>
      <c r="BW31" t="e">
        <f>AND(Boiler!#REF!,"AAAAAD+/vko=")</f>
        <v>#REF!</v>
      </c>
      <c r="BX31" t="e">
        <f>IF(Boiler!#REF!,"AAAAAD+/vks=",0)</f>
        <v>#REF!</v>
      </c>
      <c r="BY31" t="e">
        <f>AND(Boiler!#REF!,"AAAAAD+/vkw=")</f>
        <v>#REF!</v>
      </c>
      <c r="BZ31" t="e">
        <f>AND(Boiler!#REF!,"AAAAAD+/vk0=")</f>
        <v>#REF!</v>
      </c>
      <c r="CA31" t="e">
        <f>AND(Boiler!#REF!,"AAAAAD+/vk4=")</f>
        <v>#REF!</v>
      </c>
      <c r="CB31" t="e">
        <f>AND(Boiler!#REF!,"AAAAAD+/vk8=")</f>
        <v>#REF!</v>
      </c>
      <c r="CC31" t="e">
        <f>AND(Boiler!#REF!,"AAAAAD+/vlA=")</f>
        <v>#REF!</v>
      </c>
      <c r="CD31" t="e">
        <f>AND(Boiler!#REF!,"AAAAAD+/vlE=")</f>
        <v>#REF!</v>
      </c>
      <c r="CE31" t="e">
        <f>AND(Boiler!#REF!,"AAAAAD+/vlI=")</f>
        <v>#REF!</v>
      </c>
      <c r="CF31" t="e">
        <f>AND(Boiler!#REF!,"AAAAAD+/vlM=")</f>
        <v>#REF!</v>
      </c>
      <c r="CG31" t="e">
        <f>AND(Boiler!#REF!,"AAAAAD+/vlQ=")</f>
        <v>#REF!</v>
      </c>
      <c r="CH31" t="e">
        <f>AND(Boiler!#REF!,"AAAAAD+/vlU=")</f>
        <v>#REF!</v>
      </c>
      <c r="CI31" t="e">
        <f>AND(Boiler!#REF!,"AAAAAD+/vlY=")</f>
        <v>#REF!</v>
      </c>
      <c r="CJ31" t="e">
        <f>AND(Boiler!#REF!,"AAAAAD+/vlc=")</f>
        <v>#REF!</v>
      </c>
      <c r="CK31" t="e">
        <f>AND(Boiler!#REF!,"AAAAAD+/vlg=")</f>
        <v>#REF!</v>
      </c>
      <c r="CL31" t="e">
        <f>AND(Boiler!#REF!,"AAAAAD+/vlk=")</f>
        <v>#REF!</v>
      </c>
      <c r="CM31" t="e">
        <f>AND(Boiler!#REF!,"AAAAAD+/vlo=")</f>
        <v>#REF!</v>
      </c>
      <c r="CN31" t="e">
        <f>IF(Boiler!#REF!,"AAAAAD+/vls=",0)</f>
        <v>#REF!</v>
      </c>
      <c r="CO31" t="e">
        <f>AND(Boiler!#REF!,"AAAAAD+/vlw=")</f>
        <v>#REF!</v>
      </c>
      <c r="CP31" t="e">
        <f>AND(Boiler!#REF!,"AAAAAD+/vl0=")</f>
        <v>#REF!</v>
      </c>
      <c r="CQ31" t="e">
        <f>AND(Boiler!#REF!,"AAAAAD+/vl4=")</f>
        <v>#REF!</v>
      </c>
      <c r="CR31" t="e">
        <f>AND(Boiler!#REF!,"AAAAAD+/vl8=")</f>
        <v>#REF!</v>
      </c>
      <c r="CS31" t="e">
        <f>AND(Boiler!#REF!,"AAAAAD+/vmA=")</f>
        <v>#REF!</v>
      </c>
      <c r="CT31" t="e">
        <f>AND(Boiler!#REF!,"AAAAAD+/vmE=")</f>
        <v>#REF!</v>
      </c>
      <c r="CU31" t="e">
        <f>AND(Boiler!#REF!,"AAAAAD+/vmI=")</f>
        <v>#REF!</v>
      </c>
      <c r="CV31" t="e">
        <f>AND(Boiler!#REF!,"AAAAAD+/vmM=")</f>
        <v>#REF!</v>
      </c>
      <c r="CW31" t="e">
        <f>AND(Boiler!#REF!,"AAAAAD+/vmQ=")</f>
        <v>#REF!</v>
      </c>
      <c r="CX31" t="e">
        <f>AND(Boiler!#REF!,"AAAAAD+/vmU=")</f>
        <v>#REF!</v>
      </c>
      <c r="CY31" t="e">
        <f>AND(Boiler!#REF!,"AAAAAD+/vmY=")</f>
        <v>#REF!</v>
      </c>
      <c r="CZ31" t="e">
        <f>AND(Boiler!#REF!,"AAAAAD+/vmc=")</f>
        <v>#REF!</v>
      </c>
      <c r="DA31" t="e">
        <f>AND(Boiler!#REF!,"AAAAAD+/vmg=")</f>
        <v>#REF!</v>
      </c>
      <c r="DB31" t="e">
        <f>AND(Boiler!#REF!,"AAAAAD+/vmk=")</f>
        <v>#REF!</v>
      </c>
      <c r="DC31" t="e">
        <f>AND(Boiler!#REF!,"AAAAAD+/vmo=")</f>
        <v>#REF!</v>
      </c>
      <c r="DD31" t="e">
        <f>IF(Boiler!#REF!,"AAAAAD+/vms=",0)</f>
        <v>#REF!</v>
      </c>
      <c r="DE31" t="e">
        <f>AND(Boiler!#REF!,"AAAAAD+/vmw=")</f>
        <v>#REF!</v>
      </c>
      <c r="DF31" t="e">
        <f>AND(Boiler!#REF!,"AAAAAD+/vm0=")</f>
        <v>#REF!</v>
      </c>
      <c r="DG31" t="e">
        <f>AND(Boiler!#REF!,"AAAAAD+/vm4=")</f>
        <v>#REF!</v>
      </c>
      <c r="DH31" t="e">
        <f>AND(Boiler!#REF!,"AAAAAD+/vm8=")</f>
        <v>#REF!</v>
      </c>
      <c r="DI31" t="e">
        <f>AND(Boiler!#REF!,"AAAAAD+/vnA=")</f>
        <v>#REF!</v>
      </c>
      <c r="DJ31" t="e">
        <f>AND(Boiler!#REF!,"AAAAAD+/vnE=")</f>
        <v>#REF!</v>
      </c>
      <c r="DK31" t="e">
        <f>AND(Boiler!#REF!,"AAAAAD+/vnI=")</f>
        <v>#REF!</v>
      </c>
      <c r="DL31" t="e">
        <f>AND(Boiler!#REF!,"AAAAAD+/vnM=")</f>
        <v>#REF!</v>
      </c>
      <c r="DM31" t="e">
        <f>AND(Boiler!#REF!,"AAAAAD+/vnQ=")</f>
        <v>#REF!</v>
      </c>
      <c r="DN31" t="e">
        <f>AND(Boiler!#REF!,"AAAAAD+/vnU=")</f>
        <v>#REF!</v>
      </c>
      <c r="DO31" t="e">
        <f>AND(Boiler!#REF!,"AAAAAD+/vnY=")</f>
        <v>#REF!</v>
      </c>
      <c r="DP31" t="e">
        <f>AND(Boiler!#REF!,"AAAAAD+/vnc=")</f>
        <v>#REF!</v>
      </c>
      <c r="DQ31" t="e">
        <f>AND(Boiler!#REF!,"AAAAAD+/vng=")</f>
        <v>#REF!</v>
      </c>
      <c r="DR31" t="e">
        <f>AND(Boiler!#REF!,"AAAAAD+/vnk=")</f>
        <v>#REF!</v>
      </c>
      <c r="DS31" t="e">
        <f>AND(Boiler!#REF!,"AAAAAD+/vno=")</f>
        <v>#REF!</v>
      </c>
      <c r="DT31" t="e">
        <f>IF(Boiler!#REF!,"AAAAAD+/vns=",0)</f>
        <v>#REF!</v>
      </c>
      <c r="DU31" t="e">
        <f>AND(Boiler!#REF!,"AAAAAD+/vnw=")</f>
        <v>#REF!</v>
      </c>
      <c r="DV31" t="e">
        <f>AND(Boiler!#REF!,"AAAAAD+/vn0=")</f>
        <v>#REF!</v>
      </c>
      <c r="DW31" t="e">
        <f>AND(Boiler!#REF!,"AAAAAD+/vn4=")</f>
        <v>#REF!</v>
      </c>
      <c r="DX31" t="e">
        <f>AND(Boiler!#REF!,"AAAAAD+/vn8=")</f>
        <v>#REF!</v>
      </c>
      <c r="DY31" t="e">
        <f>AND(Boiler!#REF!,"AAAAAD+/voA=")</f>
        <v>#REF!</v>
      </c>
      <c r="DZ31" t="e">
        <f>AND(Boiler!#REF!,"AAAAAD+/voE=")</f>
        <v>#REF!</v>
      </c>
      <c r="EA31" t="e">
        <f>AND(Boiler!#REF!,"AAAAAD+/voI=")</f>
        <v>#REF!</v>
      </c>
      <c r="EB31" t="e">
        <f>AND(Boiler!#REF!,"AAAAAD+/voM=")</f>
        <v>#REF!</v>
      </c>
      <c r="EC31" t="e">
        <f>AND(Boiler!#REF!,"AAAAAD+/voQ=")</f>
        <v>#REF!</v>
      </c>
      <c r="ED31" t="e">
        <f>AND(Boiler!#REF!,"AAAAAD+/voU=")</f>
        <v>#REF!</v>
      </c>
      <c r="EE31" t="e">
        <f>AND(Boiler!#REF!,"AAAAAD+/voY=")</f>
        <v>#REF!</v>
      </c>
      <c r="EF31" t="e">
        <f>AND(Boiler!#REF!,"AAAAAD+/voc=")</f>
        <v>#REF!</v>
      </c>
      <c r="EG31" t="e">
        <f>AND(Boiler!#REF!,"AAAAAD+/vog=")</f>
        <v>#REF!</v>
      </c>
      <c r="EH31" t="e">
        <f>AND(Boiler!#REF!,"AAAAAD+/vok=")</f>
        <v>#REF!</v>
      </c>
      <c r="EI31" t="e">
        <f>AND(Boiler!#REF!,"AAAAAD+/voo=")</f>
        <v>#REF!</v>
      </c>
      <c r="EJ31" t="e">
        <f>IF(Boiler!#REF!,"AAAAAD+/vos=",0)</f>
        <v>#REF!</v>
      </c>
      <c r="EK31" t="e">
        <f>AND(Boiler!#REF!,"AAAAAD+/vow=")</f>
        <v>#REF!</v>
      </c>
      <c r="EL31" t="e">
        <f>AND(Boiler!#REF!,"AAAAAD+/vo0=")</f>
        <v>#REF!</v>
      </c>
      <c r="EM31" t="e">
        <f>AND(Boiler!#REF!,"AAAAAD+/vo4=")</f>
        <v>#REF!</v>
      </c>
      <c r="EN31" t="e">
        <f>AND(Boiler!#REF!,"AAAAAD+/vo8=")</f>
        <v>#REF!</v>
      </c>
      <c r="EO31" t="e">
        <f>AND(Boiler!#REF!,"AAAAAD+/vpA=")</f>
        <v>#REF!</v>
      </c>
      <c r="EP31" t="e">
        <f>AND(Boiler!#REF!,"AAAAAD+/vpE=")</f>
        <v>#REF!</v>
      </c>
      <c r="EQ31" t="e">
        <f>AND(Boiler!#REF!,"AAAAAD+/vpI=")</f>
        <v>#REF!</v>
      </c>
      <c r="ER31" t="e">
        <f>AND(Boiler!#REF!,"AAAAAD+/vpM=")</f>
        <v>#REF!</v>
      </c>
      <c r="ES31" t="e">
        <f>AND(Boiler!#REF!,"AAAAAD+/vpQ=")</f>
        <v>#REF!</v>
      </c>
      <c r="ET31" t="e">
        <f>AND(Boiler!#REF!,"AAAAAD+/vpU=")</f>
        <v>#REF!</v>
      </c>
      <c r="EU31" t="e">
        <f>AND(Boiler!#REF!,"AAAAAD+/vpY=")</f>
        <v>#REF!</v>
      </c>
      <c r="EV31" t="e">
        <f>AND(Boiler!#REF!,"AAAAAD+/vpc=")</f>
        <v>#REF!</v>
      </c>
      <c r="EW31" t="e">
        <f>AND(Boiler!#REF!,"AAAAAD+/vpg=")</f>
        <v>#REF!</v>
      </c>
      <c r="EX31" t="e">
        <f>AND(Boiler!#REF!,"AAAAAD+/vpk=")</f>
        <v>#REF!</v>
      </c>
      <c r="EY31" t="e">
        <f>AND(Boiler!#REF!,"AAAAAD+/vpo=")</f>
        <v>#REF!</v>
      </c>
      <c r="EZ31" t="e">
        <f>IF(Boiler!#REF!,"AAAAAD+/vps=",0)</f>
        <v>#REF!</v>
      </c>
      <c r="FA31" t="e">
        <f>AND(Boiler!#REF!,"AAAAAD+/vpw=")</f>
        <v>#REF!</v>
      </c>
      <c r="FB31" t="e">
        <f>AND(Boiler!#REF!,"AAAAAD+/vp0=")</f>
        <v>#REF!</v>
      </c>
      <c r="FC31" t="e">
        <f>AND(Boiler!#REF!,"AAAAAD+/vp4=")</f>
        <v>#REF!</v>
      </c>
      <c r="FD31" t="e">
        <f>AND(Boiler!#REF!,"AAAAAD+/vp8=")</f>
        <v>#REF!</v>
      </c>
      <c r="FE31" t="e">
        <f>AND(Boiler!#REF!,"AAAAAD+/vqA=")</f>
        <v>#REF!</v>
      </c>
      <c r="FF31" t="e">
        <f>AND(Boiler!#REF!,"AAAAAD+/vqE=")</f>
        <v>#REF!</v>
      </c>
      <c r="FG31" t="e">
        <f>AND(Boiler!#REF!,"AAAAAD+/vqI=")</f>
        <v>#REF!</v>
      </c>
      <c r="FH31" t="e">
        <f>AND(Boiler!#REF!,"AAAAAD+/vqM=")</f>
        <v>#REF!</v>
      </c>
      <c r="FI31" t="e">
        <f>AND(Boiler!#REF!,"AAAAAD+/vqQ=")</f>
        <v>#REF!</v>
      </c>
      <c r="FJ31" t="e">
        <f>AND(Boiler!#REF!,"AAAAAD+/vqU=")</f>
        <v>#REF!</v>
      </c>
      <c r="FK31" t="e">
        <f>AND(Boiler!#REF!,"AAAAAD+/vqY=")</f>
        <v>#REF!</v>
      </c>
      <c r="FL31" t="e">
        <f>AND(Boiler!#REF!,"AAAAAD+/vqc=")</f>
        <v>#REF!</v>
      </c>
      <c r="FM31" t="e">
        <f>AND(Boiler!#REF!,"AAAAAD+/vqg=")</f>
        <v>#REF!</v>
      </c>
      <c r="FN31" t="e">
        <f>AND(Boiler!#REF!,"AAAAAD+/vqk=")</f>
        <v>#REF!</v>
      </c>
      <c r="FO31" t="e">
        <f>AND(Boiler!#REF!,"AAAAAD+/vqo=")</f>
        <v>#REF!</v>
      </c>
      <c r="FP31" t="e">
        <f>IF(Boiler!#REF!,"AAAAAD+/vqs=",0)</f>
        <v>#REF!</v>
      </c>
      <c r="FQ31" t="e">
        <f>AND(Boiler!#REF!,"AAAAAD+/vqw=")</f>
        <v>#REF!</v>
      </c>
      <c r="FR31" t="e">
        <f>AND(Boiler!#REF!,"AAAAAD+/vq0=")</f>
        <v>#REF!</v>
      </c>
      <c r="FS31" t="e">
        <f>AND(Boiler!#REF!,"AAAAAD+/vq4=")</f>
        <v>#REF!</v>
      </c>
      <c r="FT31" t="e">
        <f>AND(Boiler!#REF!,"AAAAAD+/vq8=")</f>
        <v>#REF!</v>
      </c>
      <c r="FU31" t="e">
        <f>AND(Boiler!#REF!,"AAAAAD+/vrA=")</f>
        <v>#REF!</v>
      </c>
      <c r="FV31" t="e">
        <f>AND(Boiler!#REF!,"AAAAAD+/vrE=")</f>
        <v>#REF!</v>
      </c>
      <c r="FW31" t="e">
        <f>AND(Boiler!#REF!,"AAAAAD+/vrI=")</f>
        <v>#REF!</v>
      </c>
      <c r="FX31" t="e">
        <f>AND(Boiler!#REF!,"AAAAAD+/vrM=")</f>
        <v>#REF!</v>
      </c>
      <c r="FY31" t="e">
        <f>AND(Boiler!#REF!,"AAAAAD+/vrQ=")</f>
        <v>#REF!</v>
      </c>
      <c r="FZ31" t="e">
        <f>AND(Boiler!#REF!,"AAAAAD+/vrU=")</f>
        <v>#REF!</v>
      </c>
      <c r="GA31" t="e">
        <f>AND(Boiler!#REF!,"AAAAAD+/vrY=")</f>
        <v>#REF!</v>
      </c>
      <c r="GB31" t="e">
        <f>AND(Boiler!#REF!,"AAAAAD+/vrc=")</f>
        <v>#REF!</v>
      </c>
      <c r="GC31" t="e">
        <f>AND(Boiler!#REF!,"AAAAAD+/vrg=")</f>
        <v>#REF!</v>
      </c>
      <c r="GD31" t="e">
        <f>AND(Boiler!#REF!,"AAAAAD+/vrk=")</f>
        <v>#REF!</v>
      </c>
      <c r="GE31" t="e">
        <f>AND(Boiler!#REF!,"AAAAAD+/vro=")</f>
        <v>#REF!</v>
      </c>
      <c r="GF31" t="e">
        <f>IF(Boiler!#REF!,"AAAAAD+/vrs=",0)</f>
        <v>#REF!</v>
      </c>
      <c r="GG31" t="e">
        <f>AND(Boiler!#REF!,"AAAAAD+/vrw=")</f>
        <v>#REF!</v>
      </c>
      <c r="GH31" t="e">
        <f>AND(Boiler!#REF!,"AAAAAD+/vr0=")</f>
        <v>#REF!</v>
      </c>
      <c r="GI31" t="e">
        <f>AND(Boiler!#REF!,"AAAAAD+/vr4=")</f>
        <v>#REF!</v>
      </c>
      <c r="GJ31" t="e">
        <f>AND(Boiler!#REF!,"AAAAAD+/vr8=")</f>
        <v>#REF!</v>
      </c>
      <c r="GK31" t="e">
        <f>AND(Boiler!#REF!,"AAAAAD+/vsA=")</f>
        <v>#REF!</v>
      </c>
      <c r="GL31" t="e">
        <f>AND(Boiler!#REF!,"AAAAAD+/vsE=")</f>
        <v>#REF!</v>
      </c>
      <c r="GM31" t="e">
        <f>AND(Boiler!#REF!,"AAAAAD+/vsI=")</f>
        <v>#REF!</v>
      </c>
      <c r="GN31" t="e">
        <f>AND(Boiler!#REF!,"AAAAAD+/vsM=")</f>
        <v>#REF!</v>
      </c>
      <c r="GO31" t="e">
        <f>AND(Boiler!#REF!,"AAAAAD+/vsQ=")</f>
        <v>#REF!</v>
      </c>
      <c r="GP31" t="e">
        <f>AND(Boiler!#REF!,"AAAAAD+/vsU=")</f>
        <v>#REF!</v>
      </c>
      <c r="GQ31" t="e">
        <f>AND(Boiler!#REF!,"AAAAAD+/vsY=")</f>
        <v>#REF!</v>
      </c>
      <c r="GR31" t="e">
        <f>AND(Boiler!#REF!,"AAAAAD+/vsc=")</f>
        <v>#REF!</v>
      </c>
      <c r="GS31" t="e">
        <f>AND(Boiler!#REF!,"AAAAAD+/vsg=")</f>
        <v>#REF!</v>
      </c>
      <c r="GT31" t="e">
        <f>AND(Boiler!#REF!,"AAAAAD+/vsk=")</f>
        <v>#REF!</v>
      </c>
      <c r="GU31" t="e">
        <f>AND(Boiler!#REF!,"AAAAAD+/vso=")</f>
        <v>#REF!</v>
      </c>
      <c r="GV31" t="e">
        <f>IF(Boiler!#REF!,"AAAAAD+/vss=",0)</f>
        <v>#REF!</v>
      </c>
      <c r="GW31" t="e">
        <f>AND(Boiler!#REF!,"AAAAAD+/vsw=")</f>
        <v>#REF!</v>
      </c>
      <c r="GX31" t="e">
        <f>AND(Boiler!#REF!,"AAAAAD+/vs0=")</f>
        <v>#REF!</v>
      </c>
      <c r="GY31" t="e">
        <f>AND(Boiler!#REF!,"AAAAAD+/vs4=")</f>
        <v>#REF!</v>
      </c>
      <c r="GZ31" t="e">
        <f>AND(Boiler!#REF!,"AAAAAD+/vs8=")</f>
        <v>#REF!</v>
      </c>
      <c r="HA31" t="e">
        <f>AND(Boiler!#REF!,"AAAAAD+/vtA=")</f>
        <v>#REF!</v>
      </c>
      <c r="HB31" t="e">
        <f>AND(Boiler!#REF!,"AAAAAD+/vtE=")</f>
        <v>#REF!</v>
      </c>
      <c r="HC31" t="e">
        <f>AND(Boiler!#REF!,"AAAAAD+/vtI=")</f>
        <v>#REF!</v>
      </c>
      <c r="HD31" t="e">
        <f>AND(Boiler!#REF!,"AAAAAD+/vtM=")</f>
        <v>#REF!</v>
      </c>
      <c r="HE31" t="e">
        <f>AND(Boiler!#REF!,"AAAAAD+/vtQ=")</f>
        <v>#REF!</v>
      </c>
      <c r="HF31" t="e">
        <f>AND(Boiler!#REF!,"AAAAAD+/vtU=")</f>
        <v>#REF!</v>
      </c>
      <c r="HG31" t="e">
        <f>AND(Boiler!#REF!,"AAAAAD+/vtY=")</f>
        <v>#REF!</v>
      </c>
      <c r="HH31" t="e">
        <f>AND(Boiler!#REF!,"AAAAAD+/vtc=")</f>
        <v>#REF!</v>
      </c>
      <c r="HI31" t="e">
        <f>AND(Boiler!#REF!,"AAAAAD+/vtg=")</f>
        <v>#REF!</v>
      </c>
      <c r="HJ31" t="e">
        <f>AND(Boiler!#REF!,"AAAAAD+/vtk=")</f>
        <v>#REF!</v>
      </c>
      <c r="HK31" t="e">
        <f>AND(Boiler!#REF!,"AAAAAD+/vto=")</f>
        <v>#REF!</v>
      </c>
      <c r="HL31" t="e">
        <f>IF(Boiler!#REF!,"AAAAAD+/vts=",0)</f>
        <v>#REF!</v>
      </c>
      <c r="HM31" t="e">
        <f>AND(Boiler!#REF!,"AAAAAD+/vtw=")</f>
        <v>#REF!</v>
      </c>
      <c r="HN31" t="e">
        <f>AND(Boiler!#REF!,"AAAAAD+/vt0=")</f>
        <v>#REF!</v>
      </c>
      <c r="HO31" t="e">
        <f>AND(Boiler!#REF!,"AAAAAD+/vt4=")</f>
        <v>#REF!</v>
      </c>
      <c r="HP31" t="e">
        <f>AND(Boiler!#REF!,"AAAAAD+/vt8=")</f>
        <v>#REF!</v>
      </c>
      <c r="HQ31" t="e">
        <f>AND(Boiler!#REF!,"AAAAAD+/vuA=")</f>
        <v>#REF!</v>
      </c>
      <c r="HR31" t="e">
        <f>AND(Boiler!#REF!,"AAAAAD+/vuE=")</f>
        <v>#REF!</v>
      </c>
      <c r="HS31" t="e">
        <f>AND(Boiler!#REF!,"AAAAAD+/vuI=")</f>
        <v>#REF!</v>
      </c>
      <c r="HT31" t="e">
        <f>AND(Boiler!#REF!,"AAAAAD+/vuM=")</f>
        <v>#REF!</v>
      </c>
      <c r="HU31" t="e">
        <f>AND(Boiler!#REF!,"AAAAAD+/vuQ=")</f>
        <v>#REF!</v>
      </c>
      <c r="HV31" t="e">
        <f>AND(Boiler!#REF!,"AAAAAD+/vuU=")</f>
        <v>#REF!</v>
      </c>
      <c r="HW31" t="e">
        <f>AND(Boiler!#REF!,"AAAAAD+/vuY=")</f>
        <v>#REF!</v>
      </c>
      <c r="HX31" t="e">
        <f>AND(Boiler!#REF!,"AAAAAD+/vuc=")</f>
        <v>#REF!</v>
      </c>
      <c r="HY31" t="e">
        <f>AND(Boiler!#REF!,"AAAAAD+/vug=")</f>
        <v>#REF!</v>
      </c>
      <c r="HZ31" t="e">
        <f>AND(Boiler!#REF!,"AAAAAD+/vuk=")</f>
        <v>#REF!</v>
      </c>
      <c r="IA31" t="e">
        <f>AND(Boiler!#REF!,"AAAAAD+/vuo=")</f>
        <v>#REF!</v>
      </c>
      <c r="IB31" t="e">
        <f>IF(Boiler!#REF!,"AAAAAD+/vus=",0)</f>
        <v>#REF!</v>
      </c>
      <c r="IC31" t="e">
        <f>AND(Boiler!#REF!,"AAAAAD+/vuw=")</f>
        <v>#REF!</v>
      </c>
      <c r="ID31" t="e">
        <f>AND(Boiler!#REF!,"AAAAAD+/vu0=")</f>
        <v>#REF!</v>
      </c>
      <c r="IE31" t="e">
        <f>AND(Boiler!#REF!,"AAAAAD+/vu4=")</f>
        <v>#REF!</v>
      </c>
      <c r="IF31" t="e">
        <f>AND(Boiler!#REF!,"AAAAAD+/vu8=")</f>
        <v>#REF!</v>
      </c>
      <c r="IG31" t="e">
        <f>AND(Boiler!#REF!,"AAAAAD+/vvA=")</f>
        <v>#REF!</v>
      </c>
      <c r="IH31" t="e">
        <f>AND(Boiler!#REF!,"AAAAAD+/vvE=")</f>
        <v>#REF!</v>
      </c>
      <c r="II31" t="e">
        <f>AND(Boiler!#REF!,"AAAAAD+/vvI=")</f>
        <v>#REF!</v>
      </c>
      <c r="IJ31" t="e">
        <f>AND(Boiler!#REF!,"AAAAAD+/vvM=")</f>
        <v>#REF!</v>
      </c>
      <c r="IK31" t="e">
        <f>AND(Boiler!#REF!,"AAAAAD+/vvQ=")</f>
        <v>#REF!</v>
      </c>
      <c r="IL31" t="e">
        <f>AND(Boiler!#REF!,"AAAAAD+/vvU=")</f>
        <v>#REF!</v>
      </c>
      <c r="IM31" t="e">
        <f>AND(Boiler!#REF!,"AAAAAD+/vvY=")</f>
        <v>#REF!</v>
      </c>
      <c r="IN31" t="e">
        <f>AND(Boiler!#REF!,"AAAAAD+/vvc=")</f>
        <v>#REF!</v>
      </c>
      <c r="IO31" t="e">
        <f>AND(Boiler!#REF!,"AAAAAD+/vvg=")</f>
        <v>#REF!</v>
      </c>
      <c r="IP31" t="e">
        <f>AND(Boiler!#REF!,"AAAAAD+/vvk=")</f>
        <v>#REF!</v>
      </c>
      <c r="IQ31" t="e">
        <f>AND(Boiler!#REF!,"AAAAAD+/vvo=")</f>
        <v>#REF!</v>
      </c>
      <c r="IR31" t="e">
        <f>IF(Boiler!#REF!,"AAAAAD+/vvs=",0)</f>
        <v>#REF!</v>
      </c>
      <c r="IS31" t="e">
        <f>AND(Boiler!#REF!,"AAAAAD+/vvw=")</f>
        <v>#REF!</v>
      </c>
      <c r="IT31" t="e">
        <f>AND(Boiler!#REF!,"AAAAAD+/vv0=")</f>
        <v>#REF!</v>
      </c>
      <c r="IU31" t="e">
        <f>AND(Boiler!#REF!,"AAAAAD+/vv4=")</f>
        <v>#REF!</v>
      </c>
      <c r="IV31" t="e">
        <f>AND(Boiler!#REF!,"AAAAAD+/vv8=")</f>
        <v>#REF!</v>
      </c>
    </row>
    <row r="32" spans="1:256">
      <c r="A32" t="e">
        <f>AND(Boiler!#REF!,"AAAAAHdcngA=")</f>
        <v>#REF!</v>
      </c>
      <c r="B32" t="e">
        <f>AND(Boiler!#REF!,"AAAAAHdcngE=")</f>
        <v>#REF!</v>
      </c>
      <c r="C32" t="e">
        <f>AND(Boiler!#REF!,"AAAAAHdcngI=")</f>
        <v>#REF!</v>
      </c>
      <c r="D32" t="e">
        <f>AND(Boiler!#REF!,"AAAAAHdcngM=")</f>
        <v>#REF!</v>
      </c>
      <c r="E32" t="e">
        <f>AND(Boiler!#REF!,"AAAAAHdcngQ=")</f>
        <v>#REF!</v>
      </c>
      <c r="F32" t="e">
        <f>AND(Boiler!#REF!,"AAAAAHdcngU=")</f>
        <v>#REF!</v>
      </c>
      <c r="G32" t="e">
        <f>AND(Boiler!#REF!,"AAAAAHdcngY=")</f>
        <v>#REF!</v>
      </c>
      <c r="H32" t="e">
        <f>AND(Boiler!#REF!,"AAAAAHdcngc=")</f>
        <v>#REF!</v>
      </c>
      <c r="I32" t="e">
        <f>AND(Boiler!#REF!,"AAAAAHdcngg=")</f>
        <v>#REF!</v>
      </c>
      <c r="J32" t="e">
        <f>AND(Boiler!#REF!,"AAAAAHdcngk=")</f>
        <v>#REF!</v>
      </c>
      <c r="K32" t="e">
        <f>AND(Boiler!#REF!,"AAAAAHdcngo=")</f>
        <v>#REF!</v>
      </c>
      <c r="L32" t="e">
        <f>IF(Boiler!#REF!,"AAAAAHdcngs=",0)</f>
        <v>#REF!</v>
      </c>
      <c r="M32" t="e">
        <f>AND(Boiler!#REF!,"AAAAAHdcngw=")</f>
        <v>#REF!</v>
      </c>
      <c r="N32" t="e">
        <f>AND(Boiler!#REF!,"AAAAAHdcng0=")</f>
        <v>#REF!</v>
      </c>
      <c r="O32">
        <f>IF(Boiler!A:A,"AAAAAHdcng4=",0)</f>
        <v>0</v>
      </c>
      <c r="P32">
        <f>IF(Boiler!B:B,"AAAAAHdcng8=",0)</f>
        <v>0</v>
      </c>
      <c r="Q32">
        <f>IF(Boiler!C:C,"AAAAAHdcnhA=",0)</f>
        <v>0</v>
      </c>
      <c r="R32">
        <f>IF(Boiler!D:D,"AAAAAHdcnhE=",0)</f>
        <v>0</v>
      </c>
      <c r="S32">
        <f>IF(Boiler!E:E,"AAAAAHdcnhI=",0)</f>
        <v>0</v>
      </c>
      <c r="T32">
        <f>IF(Boiler!F:F,"AAAAAHdcnhM=",0)</f>
        <v>0</v>
      </c>
      <c r="U32">
        <f>IF(Boiler!G:G,"AAAAAHdcnhQ=",0)</f>
        <v>0</v>
      </c>
      <c r="V32">
        <f>IF(Boiler!H:H,"AAAAAHdcnhU=",0)</f>
        <v>0</v>
      </c>
      <c r="W32">
        <f>IF(Boiler!I:I,"AAAAAHdcnhY=",0)</f>
        <v>0</v>
      </c>
      <c r="X32">
        <f>IF(Boiler!J:J,"AAAAAHdcnhc=",0)</f>
        <v>0</v>
      </c>
      <c r="Y32">
        <f>IF(Boiler!K:K,"AAAAAHdcnhg=",0)</f>
        <v>0</v>
      </c>
      <c r="Z32">
        <f>IF(Boiler!L:L,"AAAAAHdcnhk=",0)</f>
        <v>0</v>
      </c>
      <c r="AA32">
        <f>IF(Boiler!M:M,"AAAAAHdcnho=",0)</f>
        <v>0</v>
      </c>
      <c r="AB32">
        <f>IF(Boiler!N:N,"AAAAAHdcnhs=",0)</f>
        <v>0</v>
      </c>
      <c r="AC32">
        <f>IF(Boiler!O:O,"AAAAAHdcnhw=",0)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f>IF('Dry Cleaner'!1:1,"AAAAAA/d9mE=",0)</f>
        <v>0</v>
      </c>
      <c r="CU44" t="e">
        <f>AND('Dry Cleaner'!A1,"AAAAAA/d9mI=")</f>
        <v>#VALUE!</v>
      </c>
      <c r="CV44" t="e">
        <f>AND('Dry Cleaner'!B1,"AAAAAA/d9mM=")</f>
        <v>#VALUE!</v>
      </c>
      <c r="CW44" t="e">
        <f>AND('Dry Cleaner'!C1,"AAAAAA/d9mQ=")</f>
        <v>#VALUE!</v>
      </c>
      <c r="CX44" t="e">
        <f>AND('Dry Cleaner'!D1,"AAAAAA/d9mU=")</f>
        <v>#VALUE!</v>
      </c>
      <c r="CY44" t="e">
        <f>AND('Dry Cleaner'!E1,"AAAAAA/d9mY=")</f>
        <v>#VALUE!</v>
      </c>
      <c r="CZ44" t="e">
        <f>AND('Dry Cleaner'!F1,"AAAAAA/d9mc=")</f>
        <v>#VALUE!</v>
      </c>
      <c r="DA44" t="e">
        <f>AND('Dry Cleaner'!G1,"AAAAAA/d9mg=")</f>
        <v>#VALUE!</v>
      </c>
      <c r="DB44" t="e">
        <f>AND('Dry Cleaner'!H1,"AAAAAA/d9mk=")</f>
        <v>#VALUE!</v>
      </c>
      <c r="DC44" t="e">
        <f>AND('Dry Cleaner'!I1,"AAAAAA/d9mo=")</f>
        <v>#VALUE!</v>
      </c>
      <c r="DD44" t="e">
        <f>AND('Dry Cleaner'!J1,"AAAAAA/d9ms=")</f>
        <v>#VALUE!</v>
      </c>
      <c r="DE44" t="e">
        <f>AND('Dry Cleaner'!K1,"AAAAAA/d9mw=")</f>
        <v>#VALUE!</v>
      </c>
      <c r="DF44" t="e">
        <f>AND('Dry Cleaner'!L1,"AAAAAA/d9m0=")</f>
        <v>#VALUE!</v>
      </c>
      <c r="DG44" t="e">
        <f>AND('Dry Cleaner'!M1,"AAAAAA/d9m4=")</f>
        <v>#VALUE!</v>
      </c>
      <c r="DH44" t="e">
        <f>AND('Dry Cleaner'!N1,"AAAAAA/d9m8=")</f>
        <v>#VALUE!</v>
      </c>
      <c r="DI44" t="e">
        <f>AND('Dry Cleaner'!O1,"AAAAAA/d9nA=")</f>
        <v>#VALUE!</v>
      </c>
      <c r="DJ44" t="e">
        <f>AND('Dry Cleaner'!P1,"AAAAAA/d9nE=")</f>
        <v>#VALUE!</v>
      </c>
      <c r="DK44" t="e">
        <f>AND('Dry Cleaner'!Q1,"AAAAAA/d9nI=")</f>
        <v>#VALUE!</v>
      </c>
      <c r="DL44" t="e">
        <f>AND('Dry Cleaner'!R1,"AAAAAA/d9nM=")</f>
        <v>#VALUE!</v>
      </c>
      <c r="DM44" t="e">
        <f>AND('Dry Cleaner'!S1,"AAAAAA/d9nQ=")</f>
        <v>#VALUE!</v>
      </c>
      <c r="DN44" t="e">
        <f>AND('Dry Cleaner'!T1,"AAAAAA/d9nU=")</f>
        <v>#VALUE!</v>
      </c>
      <c r="DO44" t="e">
        <f>AND('Dry Cleaner'!U1,"AAAAAA/d9nY=")</f>
        <v>#VALUE!</v>
      </c>
      <c r="DP44" t="e">
        <f>AND('Dry Cleaner'!V1,"AAAAAA/d9nc=")</f>
        <v>#VALUE!</v>
      </c>
      <c r="DQ44" t="e">
        <f>AND('Dry Cleaner'!W1,"AAAAAA/d9ng=")</f>
        <v>#VALUE!</v>
      </c>
      <c r="DR44" t="e">
        <f>AND('Dry Cleaner'!X1,"AAAAAA/d9nk=")</f>
        <v>#VALUE!</v>
      </c>
      <c r="DS44" t="e">
        <f>AND('Dry Cleaner'!Y1,"AAAAAA/d9no=")</f>
        <v>#VALUE!</v>
      </c>
      <c r="DT44">
        <f>IF('Dry Cleaner'!2:2,"AAAAAA/d9ns=",0)</f>
        <v>0</v>
      </c>
      <c r="DU44" t="e">
        <f>AND('Dry Cleaner'!A2,"AAAAAA/d9nw=")</f>
        <v>#VALUE!</v>
      </c>
      <c r="DV44" t="e">
        <f>AND('Dry Cleaner'!B2,"AAAAAA/d9n0=")</f>
        <v>#VALUE!</v>
      </c>
      <c r="DW44" t="e">
        <f>AND('Dry Cleaner'!C2,"AAAAAA/d9n4=")</f>
        <v>#VALUE!</v>
      </c>
      <c r="DX44" t="e">
        <f>AND('Dry Cleaner'!D2,"AAAAAA/d9n8=")</f>
        <v>#VALUE!</v>
      </c>
      <c r="DY44" t="e">
        <f>AND('Dry Cleaner'!E2,"AAAAAA/d9oA=")</f>
        <v>#VALUE!</v>
      </c>
      <c r="DZ44" t="e">
        <f>AND('Dry Cleaner'!F2,"AAAAAA/d9oE=")</f>
        <v>#VALUE!</v>
      </c>
      <c r="EA44" t="e">
        <f>AND('Dry Cleaner'!G2,"AAAAAA/d9oI=")</f>
        <v>#VALUE!</v>
      </c>
      <c r="EB44" t="e">
        <f>AND('Dry Cleaner'!H2,"AAAAAA/d9oM=")</f>
        <v>#VALUE!</v>
      </c>
      <c r="EC44" t="e">
        <f>AND('Dry Cleaner'!I2,"AAAAAA/d9oQ=")</f>
        <v>#VALUE!</v>
      </c>
      <c r="ED44" t="e">
        <f>AND('Dry Cleaner'!J2,"AAAAAA/d9oU=")</f>
        <v>#VALUE!</v>
      </c>
      <c r="EE44" t="e">
        <f>AND('Dry Cleaner'!K2,"AAAAAA/d9oY=")</f>
        <v>#VALUE!</v>
      </c>
      <c r="EF44" t="e">
        <f>AND('Dry Cleaner'!L2,"AAAAAA/d9oc=")</f>
        <v>#VALUE!</v>
      </c>
      <c r="EG44" t="e">
        <f>AND('Dry Cleaner'!M2,"AAAAAA/d9og=")</f>
        <v>#VALUE!</v>
      </c>
      <c r="EH44" t="e">
        <f>AND('Dry Cleaner'!N2,"AAAAAA/d9ok=")</f>
        <v>#VALUE!</v>
      </c>
      <c r="EI44" t="e">
        <f>AND('Dry Cleaner'!O2,"AAAAAA/d9oo=")</f>
        <v>#VALUE!</v>
      </c>
      <c r="EJ44" t="e">
        <f>AND('Dry Cleaner'!P2,"AAAAAA/d9os=")</f>
        <v>#VALUE!</v>
      </c>
      <c r="EK44" t="e">
        <f>AND('Dry Cleaner'!Q2,"AAAAAA/d9ow=")</f>
        <v>#VALUE!</v>
      </c>
      <c r="EL44" t="e">
        <f>AND('Dry Cleaner'!R2,"AAAAAA/d9o0=")</f>
        <v>#VALUE!</v>
      </c>
      <c r="EM44" t="e">
        <f>AND('Dry Cleaner'!S2,"AAAAAA/d9o4=")</f>
        <v>#VALUE!</v>
      </c>
      <c r="EN44" t="e">
        <f>AND('Dry Cleaner'!T2,"AAAAAA/d9o8=")</f>
        <v>#VALUE!</v>
      </c>
      <c r="EO44" t="e">
        <f>AND('Dry Cleaner'!U2,"AAAAAA/d9pA=")</f>
        <v>#VALUE!</v>
      </c>
      <c r="EP44" t="e">
        <f>AND('Dry Cleaner'!V2,"AAAAAA/d9pE=")</f>
        <v>#VALUE!</v>
      </c>
      <c r="EQ44" t="e">
        <f>AND('Dry Cleaner'!W2,"AAAAAA/d9pI=")</f>
        <v>#VALUE!</v>
      </c>
      <c r="ER44" t="e">
        <f>AND('Dry Cleaner'!X2,"AAAAAA/d9pM=")</f>
        <v>#VALUE!</v>
      </c>
      <c r="ES44" t="e">
        <f>AND('Dry Cleaner'!Y2,"AAAAAA/d9pQ=")</f>
        <v>#VALUE!</v>
      </c>
      <c r="ET44" t="e">
        <f>IF('Dry Cleaner'!#REF!,"AAAAAA/d9pU=",0)</f>
        <v>#REF!</v>
      </c>
      <c r="EU44" t="e">
        <f>AND('Dry Cleaner'!#REF!,"AAAAAA/d9pY=")</f>
        <v>#REF!</v>
      </c>
      <c r="EV44" t="e">
        <f>AND('Dry Cleaner'!#REF!,"AAAAAA/d9pc=")</f>
        <v>#REF!</v>
      </c>
      <c r="EW44" t="e">
        <f>AND('Dry Cleaner'!#REF!,"AAAAAA/d9pg=")</f>
        <v>#REF!</v>
      </c>
      <c r="EX44" t="e">
        <f>AND('Dry Cleaner'!#REF!,"AAAAAA/d9pk=")</f>
        <v>#REF!</v>
      </c>
      <c r="EY44" t="e">
        <f>AND('Dry Cleaner'!#REF!,"AAAAAA/d9po=")</f>
        <v>#REF!</v>
      </c>
      <c r="EZ44" t="e">
        <f>AND('Dry Cleaner'!#REF!,"AAAAAA/d9ps=")</f>
        <v>#REF!</v>
      </c>
      <c r="FA44" t="e">
        <f>AND('Dry Cleaner'!#REF!,"AAAAAA/d9pw=")</f>
        <v>#REF!</v>
      </c>
      <c r="FB44" t="e">
        <f>AND('Dry Cleaner'!#REF!,"AAAAAA/d9p0=")</f>
        <v>#REF!</v>
      </c>
      <c r="FC44" t="e">
        <f>AND('Dry Cleaner'!#REF!,"AAAAAA/d9p4=")</f>
        <v>#REF!</v>
      </c>
      <c r="FD44" t="e">
        <f>AND('Dry Cleaner'!#REF!,"AAAAAA/d9p8=")</f>
        <v>#REF!</v>
      </c>
      <c r="FE44" t="e">
        <f>AND('Dry Cleaner'!#REF!,"AAAAAA/d9qA=")</f>
        <v>#REF!</v>
      </c>
      <c r="FF44" t="e">
        <f>AND('Dry Cleaner'!#REF!,"AAAAAA/d9qE=")</f>
        <v>#REF!</v>
      </c>
      <c r="FG44" t="e">
        <f>AND('Dry Cleaner'!#REF!,"AAAAAA/d9qI=")</f>
        <v>#REF!</v>
      </c>
      <c r="FH44" t="e">
        <f>AND('Dry Cleaner'!#REF!,"AAAAAA/d9qM=")</f>
        <v>#REF!</v>
      </c>
      <c r="FI44" t="e">
        <f>AND('Dry Cleaner'!#REF!,"AAAAAA/d9qQ=")</f>
        <v>#REF!</v>
      </c>
      <c r="FJ44" t="e">
        <f>AND('Dry Cleaner'!#REF!,"AAAAAA/d9qU=")</f>
        <v>#REF!</v>
      </c>
      <c r="FK44" t="e">
        <f>AND('Dry Cleaner'!#REF!,"AAAAAA/d9qY=")</f>
        <v>#REF!</v>
      </c>
      <c r="FL44" t="e">
        <f>AND('Dry Cleaner'!#REF!,"AAAAAA/d9qc=")</f>
        <v>#REF!</v>
      </c>
      <c r="FM44" t="e">
        <f>AND('Dry Cleaner'!#REF!,"AAAAAA/d9qg=")</f>
        <v>#REF!</v>
      </c>
      <c r="FN44" t="e">
        <f>AND('Dry Cleaner'!#REF!,"AAAAAA/d9qk=")</f>
        <v>#REF!</v>
      </c>
      <c r="FO44" t="e">
        <f>AND('Dry Cleaner'!#REF!,"AAAAAA/d9qo=")</f>
        <v>#REF!</v>
      </c>
      <c r="FP44" t="e">
        <f>AND('Dry Cleaner'!#REF!,"AAAAAA/d9qs=")</f>
        <v>#REF!</v>
      </c>
      <c r="FQ44" t="e">
        <f>AND('Dry Cleaner'!#REF!,"AAAAAA/d9qw=")</f>
        <v>#REF!</v>
      </c>
      <c r="FR44" t="e">
        <f>AND('Dry Cleaner'!#REF!,"AAAAAA/d9q0=")</f>
        <v>#REF!</v>
      </c>
      <c r="FS44" t="e">
        <f>AND('Dry Cleaner'!#REF!,"AAAAAA/d9q4=")</f>
        <v>#REF!</v>
      </c>
      <c r="FT44">
        <f>IF('Dry Cleaner'!3:3,"AAAAAA/d9q8=",0)</f>
        <v>0</v>
      </c>
      <c r="FU44" t="e">
        <f>AND('Dry Cleaner'!A3,"AAAAAA/d9rA=")</f>
        <v>#VALUE!</v>
      </c>
      <c r="FV44" t="e">
        <f>AND('Dry Cleaner'!B3,"AAAAAA/d9rE=")</f>
        <v>#VALUE!</v>
      </c>
      <c r="FW44" t="e">
        <f>AND('Dry Cleaner'!C3,"AAAAAA/d9rI=")</f>
        <v>#VALUE!</v>
      </c>
      <c r="FX44" t="e">
        <f>AND('Dry Cleaner'!D3,"AAAAAA/d9rM=")</f>
        <v>#VALUE!</v>
      </c>
      <c r="FY44" t="e">
        <f>AND('Dry Cleaner'!E3,"AAAAAA/d9rQ=")</f>
        <v>#VALUE!</v>
      </c>
      <c r="FZ44" t="e">
        <f>AND('Dry Cleaner'!F3,"AAAAAA/d9rU=")</f>
        <v>#VALUE!</v>
      </c>
      <c r="GA44" t="e">
        <f>AND('Dry Cleaner'!G3,"AAAAAA/d9rY=")</f>
        <v>#VALUE!</v>
      </c>
      <c r="GB44" t="e">
        <f>AND('Dry Cleaner'!H3,"AAAAAA/d9rc=")</f>
        <v>#VALUE!</v>
      </c>
      <c r="GC44" t="e">
        <f>AND('Dry Cleaner'!I3,"AAAAAA/d9rg=")</f>
        <v>#VALUE!</v>
      </c>
      <c r="GD44" t="e">
        <f>AND('Dry Cleaner'!J3,"AAAAAA/d9rk=")</f>
        <v>#VALUE!</v>
      </c>
      <c r="GE44" t="e">
        <f>AND('Dry Cleaner'!K3,"AAAAAA/d9ro=")</f>
        <v>#VALUE!</v>
      </c>
      <c r="GF44" t="e">
        <f>AND('Dry Cleaner'!L3,"AAAAAA/d9rs=")</f>
        <v>#VALUE!</v>
      </c>
      <c r="GG44" t="e">
        <f>AND('Dry Cleaner'!M3,"AAAAAA/d9rw=")</f>
        <v>#VALUE!</v>
      </c>
      <c r="GH44" t="e">
        <f>AND('Dry Cleaner'!N3,"AAAAAA/d9r0=")</f>
        <v>#VALUE!</v>
      </c>
      <c r="GI44" t="e">
        <f>AND('Dry Cleaner'!O3,"AAAAAA/d9r4=")</f>
        <v>#VALUE!</v>
      </c>
      <c r="GJ44" t="e">
        <f>AND('Dry Cleaner'!P3,"AAAAAA/d9r8=")</f>
        <v>#VALUE!</v>
      </c>
      <c r="GK44" t="e">
        <f>AND('Dry Cleaner'!Q3,"AAAAAA/d9sA=")</f>
        <v>#VALUE!</v>
      </c>
      <c r="GL44" t="e">
        <f>AND('Dry Cleaner'!R3,"AAAAAA/d9sE=")</f>
        <v>#VALUE!</v>
      </c>
      <c r="GM44" t="e">
        <f>AND('Dry Cleaner'!S3,"AAAAAA/d9sI=")</f>
        <v>#VALUE!</v>
      </c>
      <c r="GN44" t="e">
        <f>AND('Dry Cleaner'!T3,"AAAAAA/d9sM=")</f>
        <v>#VALUE!</v>
      </c>
      <c r="GO44" t="e">
        <f>AND('Dry Cleaner'!U3,"AAAAAA/d9sQ=")</f>
        <v>#VALUE!</v>
      </c>
      <c r="GP44" t="e">
        <f>AND('Dry Cleaner'!V3,"AAAAAA/d9sU=")</f>
        <v>#VALUE!</v>
      </c>
      <c r="GQ44" t="e">
        <f>AND('Dry Cleaner'!W3,"AAAAAA/d9sY=")</f>
        <v>#VALUE!</v>
      </c>
      <c r="GR44" t="e">
        <f>AND('Dry Cleaner'!X3,"AAAAAA/d9sc=")</f>
        <v>#VALUE!</v>
      </c>
      <c r="GS44" t="e">
        <f>AND('Dry Cleaner'!Y3,"AAAAAA/d9sg=")</f>
        <v>#VALUE!</v>
      </c>
      <c r="GT44">
        <f>IF('Dry Cleaner'!4:4,"AAAAAA/d9sk=",0)</f>
        <v>0</v>
      </c>
      <c r="GU44" t="e">
        <f>AND('Dry Cleaner'!A4,"AAAAAA/d9so=")</f>
        <v>#VALUE!</v>
      </c>
      <c r="GV44" t="e">
        <f>AND('Dry Cleaner'!B4,"AAAAAA/d9ss=")</f>
        <v>#VALUE!</v>
      </c>
      <c r="GW44" t="e">
        <f>AND('Dry Cleaner'!C4,"AAAAAA/d9sw=")</f>
        <v>#VALUE!</v>
      </c>
      <c r="GX44" t="e">
        <f>AND('Dry Cleaner'!D4,"AAAAAA/d9s0=")</f>
        <v>#VALUE!</v>
      </c>
      <c r="GY44" t="e">
        <f>AND('Dry Cleaner'!E4,"AAAAAA/d9s4=")</f>
        <v>#VALUE!</v>
      </c>
      <c r="GZ44" t="e">
        <f>AND('Dry Cleaner'!F4,"AAAAAA/d9s8=")</f>
        <v>#VALUE!</v>
      </c>
      <c r="HA44" t="e">
        <f>AND('Dry Cleaner'!G4,"AAAAAA/d9tA=")</f>
        <v>#VALUE!</v>
      </c>
      <c r="HB44" t="e">
        <f>AND('Dry Cleaner'!H4,"AAAAAA/d9tE=")</f>
        <v>#VALUE!</v>
      </c>
      <c r="HC44" t="e">
        <f>AND('Dry Cleaner'!I4,"AAAAAA/d9tI=")</f>
        <v>#VALUE!</v>
      </c>
      <c r="HD44" t="e">
        <f>AND('Dry Cleaner'!J4,"AAAAAA/d9tM=")</f>
        <v>#VALUE!</v>
      </c>
      <c r="HE44" t="e">
        <f>AND('Dry Cleaner'!K4,"AAAAAA/d9tQ=")</f>
        <v>#VALUE!</v>
      </c>
      <c r="HF44" t="e">
        <f>AND('Dry Cleaner'!L4,"AAAAAA/d9tU=")</f>
        <v>#VALUE!</v>
      </c>
      <c r="HG44" t="e">
        <f>AND('Dry Cleaner'!M4,"AAAAAA/d9tY=")</f>
        <v>#VALUE!</v>
      </c>
      <c r="HH44" t="e">
        <f>AND('Dry Cleaner'!N4,"AAAAAA/d9tc=")</f>
        <v>#VALUE!</v>
      </c>
      <c r="HI44" t="e">
        <f>AND('Dry Cleaner'!O4,"AAAAAA/d9tg=")</f>
        <v>#VALUE!</v>
      </c>
      <c r="HJ44" t="e">
        <f>AND('Dry Cleaner'!P4,"AAAAAA/d9tk=")</f>
        <v>#VALUE!</v>
      </c>
      <c r="HK44" t="e">
        <f>AND('Dry Cleaner'!Q4,"AAAAAA/d9to=")</f>
        <v>#VALUE!</v>
      </c>
      <c r="HL44" t="e">
        <f>AND('Dry Cleaner'!R4,"AAAAAA/d9ts=")</f>
        <v>#VALUE!</v>
      </c>
      <c r="HM44" t="e">
        <f>AND('Dry Cleaner'!S4,"AAAAAA/d9tw=")</f>
        <v>#VALUE!</v>
      </c>
      <c r="HN44" t="e">
        <f>AND('Dry Cleaner'!T4,"AAAAAA/d9t0=")</f>
        <v>#VALUE!</v>
      </c>
      <c r="HO44" t="e">
        <f>AND('Dry Cleaner'!U4,"AAAAAA/d9t4=")</f>
        <v>#VALUE!</v>
      </c>
      <c r="HP44" t="e">
        <f>AND('Dry Cleaner'!V4,"AAAAAA/d9t8=")</f>
        <v>#VALUE!</v>
      </c>
      <c r="HQ44" t="e">
        <f>AND('Dry Cleaner'!W4,"AAAAAA/d9uA=")</f>
        <v>#VALUE!</v>
      </c>
      <c r="HR44" t="e">
        <f>AND('Dry Cleaner'!X4,"AAAAAA/d9uE=")</f>
        <v>#VALUE!</v>
      </c>
      <c r="HS44" t="e">
        <f>AND('Dry Cleaner'!Y4,"AAAAAA/d9uI=")</f>
        <v>#VALUE!</v>
      </c>
      <c r="HT44" t="e">
        <f>IF('Dry Cleaner'!#REF!,"AAAAAA/d9uM=",0)</f>
        <v>#REF!</v>
      </c>
      <c r="HU44" t="e">
        <f>AND('Dry Cleaner'!#REF!,"AAAAAA/d9uQ=")</f>
        <v>#REF!</v>
      </c>
      <c r="HV44" t="e">
        <f>AND('Dry Cleaner'!#REF!,"AAAAAA/d9uU=")</f>
        <v>#REF!</v>
      </c>
      <c r="HW44" t="e">
        <f>AND('Dry Cleaner'!#REF!,"AAAAAA/d9uY=")</f>
        <v>#REF!</v>
      </c>
      <c r="HX44" t="e">
        <f>AND('Dry Cleaner'!#REF!,"AAAAAA/d9uc=")</f>
        <v>#REF!</v>
      </c>
      <c r="HY44" t="e">
        <f>AND('Dry Cleaner'!#REF!,"AAAAAA/d9ug=")</f>
        <v>#REF!</v>
      </c>
      <c r="HZ44" t="e">
        <f>AND('Dry Cleaner'!#REF!,"AAAAAA/d9uk=")</f>
        <v>#REF!</v>
      </c>
      <c r="IA44" t="e">
        <f>AND('Dry Cleaner'!#REF!,"AAAAAA/d9uo=")</f>
        <v>#REF!</v>
      </c>
      <c r="IB44" t="e">
        <f>AND('Dry Cleaner'!E5,"AAAAAA/d9us=")</f>
        <v>#VALUE!</v>
      </c>
      <c r="IC44" t="e">
        <f>AND('Dry Cleaner'!#REF!,"AAAAAA/d9uw=")</f>
        <v>#REF!</v>
      </c>
      <c r="ID44" t="e">
        <f>AND('Dry Cleaner'!#REF!,"AAAAAA/d9u0=")</f>
        <v>#REF!</v>
      </c>
      <c r="IE44" t="e">
        <f>AND('Dry Cleaner'!#REF!,"AAAAAA/d9u4=")</f>
        <v>#REF!</v>
      </c>
      <c r="IF44" t="e">
        <f>AND('Dry Cleaner'!#REF!,"AAAAAA/d9u8=")</f>
        <v>#REF!</v>
      </c>
      <c r="IG44" t="e">
        <f>AND('Dry Cleaner'!#REF!,"AAAAAA/d9vA=")</f>
        <v>#REF!</v>
      </c>
      <c r="IH44" t="e">
        <f>AND('Dry Cleaner'!#REF!,"AAAAAA/d9vE=")</f>
        <v>#REF!</v>
      </c>
      <c r="II44" t="e">
        <f>AND('Dry Cleaner'!#REF!,"AAAAAA/d9vI=")</f>
        <v>#REF!</v>
      </c>
      <c r="IJ44" t="e">
        <f>AND('Dry Cleaner'!#REF!,"AAAAAA/d9vM=")</f>
        <v>#REF!</v>
      </c>
      <c r="IK44" t="e">
        <f>AND('Dry Cleaner'!#REF!,"AAAAAA/d9vQ=")</f>
        <v>#REF!</v>
      </c>
      <c r="IL44" t="e">
        <f>AND('Dry Cleaner'!#REF!,"AAAAAA/d9vU=")</f>
        <v>#REF!</v>
      </c>
      <c r="IM44" t="e">
        <f>AND('Dry Cleaner'!#REF!,"AAAAAA/d9vY=")</f>
        <v>#REF!</v>
      </c>
      <c r="IN44" t="e">
        <f>AND('Dry Cleaner'!#REF!,"AAAAAA/d9vc=")</f>
        <v>#REF!</v>
      </c>
      <c r="IO44" t="e">
        <f>AND('Dry Cleaner'!#REF!,"AAAAAA/d9vg=")</f>
        <v>#REF!</v>
      </c>
      <c r="IP44" t="e">
        <f>AND('Dry Cleaner'!#REF!,"AAAAAA/d9vk=")</f>
        <v>#REF!</v>
      </c>
      <c r="IQ44" t="e">
        <f>AND('Dry Cleaner'!#REF!,"AAAAAA/d9vo=")</f>
        <v>#REF!</v>
      </c>
      <c r="IR44" t="e">
        <f>AND('Dry Cleaner'!#REF!,"AAAAAA/d9vs=")</f>
        <v>#REF!</v>
      </c>
      <c r="IS44" t="e">
        <f>AND('Dry Cleaner'!#REF!,"AAAAAA/d9vw=")</f>
        <v>#REF!</v>
      </c>
      <c r="IT44">
        <f>IF('Dry Cleaner'!5:5,"AAAAAA/d9v0=",0)</f>
        <v>0</v>
      </c>
      <c r="IU44" t="e">
        <f>AND('Dry Cleaner'!A5,"AAAAAA/d9v4=")</f>
        <v>#VALUE!</v>
      </c>
      <c r="IV44" t="e">
        <f>AND('Dry Cleaner'!B5,"AAAAAA/d9v8=")</f>
        <v>#VALUE!</v>
      </c>
    </row>
    <row r="45" spans="1:256">
      <c r="A45" t="e">
        <f>AND('Dry Cleaner'!C5,"AAAAAGX//wA=")</f>
        <v>#VALUE!</v>
      </c>
      <c r="B45" t="e">
        <f>AND('Dry Cleaner'!D5,"AAAAAGX//wE=")</f>
        <v>#VALUE!</v>
      </c>
      <c r="C45" t="e">
        <f>AND('Dry Cleaner'!#REF!,"AAAAAGX//wI=")</f>
        <v>#REF!</v>
      </c>
      <c r="D45" t="e">
        <f>AND('Dry Cleaner'!F5,"AAAAAGX//wM=")</f>
        <v>#VALUE!</v>
      </c>
      <c r="E45" t="e">
        <f>AND('Dry Cleaner'!G5,"AAAAAGX//wQ=")</f>
        <v>#VALUE!</v>
      </c>
      <c r="F45" t="e">
        <f>AND('Dry Cleaner'!E6,"AAAAAGX//wU=")</f>
        <v>#VALUE!</v>
      </c>
      <c r="G45" t="e">
        <f>AND('Dry Cleaner'!I5,"AAAAAGX//wY=")</f>
        <v>#VALUE!</v>
      </c>
      <c r="H45" t="e">
        <f>AND('Dry Cleaner'!J5,"AAAAAGX//wc=")</f>
        <v>#VALUE!</v>
      </c>
      <c r="I45" t="e">
        <f>AND('Dry Cleaner'!K5,"AAAAAGX//wg=")</f>
        <v>#VALUE!</v>
      </c>
      <c r="J45" t="e">
        <f>AND('Dry Cleaner'!L5,"AAAAAGX//wk=")</f>
        <v>#VALUE!</v>
      </c>
      <c r="K45" t="e">
        <f>AND('Dry Cleaner'!M5,"AAAAAGX//wo=")</f>
        <v>#VALUE!</v>
      </c>
      <c r="L45" t="e">
        <f>AND('Dry Cleaner'!N5,"AAAAAGX//ws=")</f>
        <v>#VALUE!</v>
      </c>
      <c r="M45" t="e">
        <f>AND('Dry Cleaner'!O5,"AAAAAGX//ww=")</f>
        <v>#VALUE!</v>
      </c>
      <c r="N45" t="e">
        <f>AND('Dry Cleaner'!P5,"AAAAAGX//w0=")</f>
        <v>#VALUE!</v>
      </c>
      <c r="O45" t="e">
        <f>AND('Dry Cleaner'!Q5,"AAAAAGX//w4=")</f>
        <v>#VALUE!</v>
      </c>
      <c r="P45" t="e">
        <f>AND('Dry Cleaner'!R5,"AAAAAGX//w8=")</f>
        <v>#VALUE!</v>
      </c>
      <c r="Q45" t="e">
        <f>AND('Dry Cleaner'!S5,"AAAAAGX//xA=")</f>
        <v>#VALUE!</v>
      </c>
      <c r="R45" t="e">
        <f>AND('Dry Cleaner'!T5,"AAAAAGX//xE=")</f>
        <v>#VALUE!</v>
      </c>
      <c r="S45" t="e">
        <f>AND('Dry Cleaner'!U5,"AAAAAGX//xI=")</f>
        <v>#VALUE!</v>
      </c>
      <c r="T45" t="e">
        <f>AND('Dry Cleaner'!V5,"AAAAAGX//xM=")</f>
        <v>#VALUE!</v>
      </c>
      <c r="U45" t="e">
        <f>AND('Dry Cleaner'!W5,"AAAAAGX//xQ=")</f>
        <v>#VALUE!</v>
      </c>
      <c r="V45" t="e">
        <f>AND('Dry Cleaner'!X5,"AAAAAGX//xU=")</f>
        <v>#VALUE!</v>
      </c>
      <c r="W45" t="e">
        <f>AND('Dry Cleaner'!Y5,"AAAAAGX//xY=")</f>
        <v>#VALUE!</v>
      </c>
      <c r="X45">
        <f>IF('Dry Cleaner'!6:6,"AAAAAGX//xc=",0)</f>
        <v>0</v>
      </c>
      <c r="Y45" t="e">
        <f>AND('Dry Cleaner'!A6,"AAAAAGX//xg=")</f>
        <v>#VALUE!</v>
      </c>
      <c r="Z45" t="e">
        <f>AND('Dry Cleaner'!B6,"AAAAAGX//xk=")</f>
        <v>#VALUE!</v>
      </c>
      <c r="AA45" t="e">
        <f>AND('Dry Cleaner'!C6,"AAAAAGX//xo=")</f>
        <v>#VALUE!</v>
      </c>
      <c r="AB45" t="e">
        <f>AND('Dry Cleaner'!D6,"AAAAAGX//xs=")</f>
        <v>#VALUE!</v>
      </c>
      <c r="AC45" t="e">
        <f>AND('Dry Cleaner'!#REF!,"AAAAAGX//xw=")</f>
        <v>#REF!</v>
      </c>
      <c r="AD45" t="e">
        <f>AND('Dry Cleaner'!F6,"AAAAAGX//x0=")</f>
        <v>#VALUE!</v>
      </c>
      <c r="AE45" t="e">
        <f>AND('Dry Cleaner'!G6,"AAAAAGX//x4=")</f>
        <v>#VALUE!</v>
      </c>
      <c r="AF45" t="e">
        <f>AND('Dry Cleaner'!#REF!,"AAAAAGX//x8=")</f>
        <v>#REF!</v>
      </c>
      <c r="AG45" t="e">
        <f>AND('Dry Cleaner'!I6,"AAAAAGX//yA=")</f>
        <v>#VALUE!</v>
      </c>
      <c r="AH45" t="e">
        <f>AND('Dry Cleaner'!J6,"AAAAAGX//yE=")</f>
        <v>#VALUE!</v>
      </c>
      <c r="AI45" t="e">
        <f>AND('Dry Cleaner'!K6,"AAAAAGX//yI=")</f>
        <v>#VALUE!</v>
      </c>
      <c r="AJ45" t="e">
        <f>AND('Dry Cleaner'!L6,"AAAAAGX//yM=")</f>
        <v>#VALUE!</v>
      </c>
      <c r="AK45" t="e">
        <f>AND('Dry Cleaner'!M6,"AAAAAGX//yQ=")</f>
        <v>#VALUE!</v>
      </c>
      <c r="AL45" t="e">
        <f>AND('Dry Cleaner'!N6,"AAAAAGX//yU=")</f>
        <v>#VALUE!</v>
      </c>
      <c r="AM45" t="e">
        <f>AND('Dry Cleaner'!O6,"AAAAAGX//yY=")</f>
        <v>#VALUE!</v>
      </c>
      <c r="AN45" t="e">
        <f>AND('Dry Cleaner'!P6,"AAAAAGX//yc=")</f>
        <v>#VALUE!</v>
      </c>
      <c r="AO45" t="e">
        <f>AND('Dry Cleaner'!Q6,"AAAAAGX//yg=")</f>
        <v>#VALUE!</v>
      </c>
      <c r="AP45" t="e">
        <f>AND('Dry Cleaner'!R6,"AAAAAGX//yk=")</f>
        <v>#VALUE!</v>
      </c>
      <c r="AQ45" t="e">
        <f>AND('Dry Cleaner'!S6,"AAAAAGX//yo=")</f>
        <v>#VALUE!</v>
      </c>
      <c r="AR45" t="e">
        <f>AND('Dry Cleaner'!T6,"AAAAAGX//ys=")</f>
        <v>#VALUE!</v>
      </c>
      <c r="AS45" t="e">
        <f>AND('Dry Cleaner'!U6,"AAAAAGX//yw=")</f>
        <v>#VALUE!</v>
      </c>
      <c r="AT45" t="e">
        <f>AND('Dry Cleaner'!V6,"AAAAAGX//y0=")</f>
        <v>#VALUE!</v>
      </c>
      <c r="AU45" t="e">
        <f>AND('Dry Cleaner'!W6,"AAAAAGX//y4=")</f>
        <v>#VALUE!</v>
      </c>
      <c r="AV45" t="e">
        <f>AND('Dry Cleaner'!X6,"AAAAAGX//y8=")</f>
        <v>#VALUE!</v>
      </c>
      <c r="AW45" t="e">
        <f>AND('Dry Cleaner'!Y6,"AAAAAGX//zA=")</f>
        <v>#VALUE!</v>
      </c>
      <c r="AX45" t="e">
        <f>IF('Dry Cleaner'!#REF!,"AAAAAGX//zE=",0)</f>
        <v>#REF!</v>
      </c>
      <c r="AY45" t="e">
        <f>AND('Dry Cleaner'!#REF!,"AAAAAGX//zI=")</f>
        <v>#REF!</v>
      </c>
      <c r="AZ45" t="e">
        <f>AND('Dry Cleaner'!#REF!,"AAAAAGX//zM=")</f>
        <v>#REF!</v>
      </c>
      <c r="BA45" t="e">
        <f>AND('Dry Cleaner'!#REF!,"AAAAAGX//zQ=")</f>
        <v>#REF!</v>
      </c>
      <c r="BB45" t="e">
        <f>AND('Dry Cleaner'!#REF!,"AAAAAGX//zU=")</f>
        <v>#REF!</v>
      </c>
      <c r="BC45" t="e">
        <f>AND('Dry Cleaner'!#REF!,"AAAAAGX//zY=")</f>
        <v>#REF!</v>
      </c>
      <c r="BD45" t="e">
        <f>AND('Dry Cleaner'!#REF!,"AAAAAGX//zc=")</f>
        <v>#REF!</v>
      </c>
      <c r="BE45" t="e">
        <f>AND('Dry Cleaner'!#REF!,"AAAAAGX//zg=")</f>
        <v>#REF!</v>
      </c>
      <c r="BF45" t="e">
        <f>AND('Dry Cleaner'!#REF!,"AAAAAGX//zk=")</f>
        <v>#REF!</v>
      </c>
      <c r="BG45" t="e">
        <f>AND('Dry Cleaner'!#REF!,"AAAAAGX//zo=")</f>
        <v>#REF!</v>
      </c>
      <c r="BH45" t="e">
        <f>AND('Dry Cleaner'!#REF!,"AAAAAGX//zs=")</f>
        <v>#REF!</v>
      </c>
      <c r="BI45" t="e">
        <f>AND('Dry Cleaner'!#REF!,"AAAAAGX//zw=")</f>
        <v>#REF!</v>
      </c>
      <c r="BJ45" t="e">
        <f>AND('Dry Cleaner'!#REF!,"AAAAAGX//z0=")</f>
        <v>#REF!</v>
      </c>
      <c r="BK45" t="e">
        <f>AND('Dry Cleaner'!#REF!,"AAAAAGX//z4=")</f>
        <v>#REF!</v>
      </c>
      <c r="BL45" t="e">
        <f>AND('Dry Cleaner'!#REF!,"AAAAAGX//z8=")</f>
        <v>#REF!</v>
      </c>
      <c r="BM45" t="e">
        <f>AND('Dry Cleaner'!#REF!,"AAAAAGX//0A=")</f>
        <v>#REF!</v>
      </c>
      <c r="BN45" t="e">
        <f>AND('Dry Cleaner'!#REF!,"AAAAAGX//0E=")</f>
        <v>#REF!</v>
      </c>
      <c r="BO45" t="e">
        <f>AND('Dry Cleaner'!#REF!,"AAAAAGX//0I=")</f>
        <v>#REF!</v>
      </c>
      <c r="BP45" t="e">
        <f>AND('Dry Cleaner'!#REF!,"AAAAAGX//0M=")</f>
        <v>#REF!</v>
      </c>
      <c r="BQ45" t="e">
        <f>AND('Dry Cleaner'!#REF!,"AAAAAGX//0Q=")</f>
        <v>#REF!</v>
      </c>
      <c r="BR45" t="e">
        <f>AND('Dry Cleaner'!#REF!,"AAAAAGX//0U=")</f>
        <v>#REF!</v>
      </c>
      <c r="BS45" t="e">
        <f>AND('Dry Cleaner'!#REF!,"AAAAAGX//0Y=")</f>
        <v>#REF!</v>
      </c>
      <c r="BT45" t="e">
        <f>AND('Dry Cleaner'!#REF!,"AAAAAGX//0c=")</f>
        <v>#REF!</v>
      </c>
      <c r="BU45" t="e">
        <f>AND('Dry Cleaner'!#REF!,"AAAAAGX//0g=")</f>
        <v>#REF!</v>
      </c>
      <c r="BV45" t="e">
        <f>AND('Dry Cleaner'!#REF!,"AAAAAGX//0k=")</f>
        <v>#REF!</v>
      </c>
      <c r="BW45" t="e">
        <f>AND('Dry Cleaner'!#REF!,"AAAAAGX//0o=")</f>
        <v>#REF!</v>
      </c>
      <c r="BX45" t="e">
        <f>IF('Dry Cleaner'!#REF!,"AAAAAGX//0s=",0)</f>
        <v>#REF!</v>
      </c>
      <c r="BY45" t="e">
        <f>AND('Dry Cleaner'!#REF!,"AAAAAGX//0w=")</f>
        <v>#REF!</v>
      </c>
      <c r="BZ45" t="e">
        <f>AND('Dry Cleaner'!#REF!,"AAAAAGX//00=")</f>
        <v>#REF!</v>
      </c>
      <c r="CA45" t="e">
        <f>AND('Dry Cleaner'!#REF!,"AAAAAGX//04=")</f>
        <v>#REF!</v>
      </c>
      <c r="CB45" t="e">
        <f>AND('Dry Cleaner'!#REF!,"AAAAAGX//08=")</f>
        <v>#REF!</v>
      </c>
      <c r="CC45" t="e">
        <f>AND('Dry Cleaner'!#REF!,"AAAAAGX//1A=")</f>
        <v>#REF!</v>
      </c>
      <c r="CD45" t="e">
        <f>AND('Dry Cleaner'!#REF!,"AAAAAGX//1E=")</f>
        <v>#REF!</v>
      </c>
      <c r="CE45" t="e">
        <f>AND('Dry Cleaner'!#REF!,"AAAAAGX//1I=")</f>
        <v>#REF!</v>
      </c>
      <c r="CF45" t="e">
        <f>AND('Dry Cleaner'!#REF!,"AAAAAGX//1M=")</f>
        <v>#REF!</v>
      </c>
      <c r="CG45" t="e">
        <f>AND('Dry Cleaner'!#REF!,"AAAAAGX//1Q=")</f>
        <v>#REF!</v>
      </c>
      <c r="CH45" t="e">
        <f>AND('Dry Cleaner'!#REF!,"AAAAAGX//1U=")</f>
        <v>#REF!</v>
      </c>
      <c r="CI45" t="e">
        <f>AND('Dry Cleaner'!#REF!,"AAAAAGX//1Y=")</f>
        <v>#REF!</v>
      </c>
      <c r="CJ45" t="e">
        <f>AND('Dry Cleaner'!#REF!,"AAAAAGX//1c=")</f>
        <v>#REF!</v>
      </c>
      <c r="CK45" t="e">
        <f>AND('Dry Cleaner'!#REF!,"AAAAAGX//1g=")</f>
        <v>#REF!</v>
      </c>
      <c r="CL45" t="e">
        <f>AND('Dry Cleaner'!#REF!,"AAAAAGX//1k=")</f>
        <v>#REF!</v>
      </c>
      <c r="CM45" t="e">
        <f>AND('Dry Cleaner'!#REF!,"AAAAAGX//1o=")</f>
        <v>#REF!</v>
      </c>
      <c r="CN45" t="e">
        <f>AND('Dry Cleaner'!#REF!,"AAAAAGX//1s=")</f>
        <v>#REF!</v>
      </c>
      <c r="CO45" t="e">
        <f>AND('Dry Cleaner'!#REF!,"AAAAAGX//1w=")</f>
        <v>#REF!</v>
      </c>
      <c r="CP45" t="e">
        <f>AND('Dry Cleaner'!#REF!,"AAAAAGX//10=")</f>
        <v>#REF!</v>
      </c>
      <c r="CQ45" t="e">
        <f>AND('Dry Cleaner'!#REF!,"AAAAAGX//14=")</f>
        <v>#REF!</v>
      </c>
      <c r="CR45" t="e">
        <f>AND('Dry Cleaner'!#REF!,"AAAAAGX//18=")</f>
        <v>#REF!</v>
      </c>
      <c r="CS45" t="e">
        <f>AND('Dry Cleaner'!#REF!,"AAAAAGX//2A=")</f>
        <v>#REF!</v>
      </c>
      <c r="CT45" t="e">
        <f>AND('Dry Cleaner'!#REF!,"AAAAAGX//2E=")</f>
        <v>#REF!</v>
      </c>
      <c r="CU45" t="e">
        <f>AND('Dry Cleaner'!#REF!,"AAAAAGX//2I=")</f>
        <v>#REF!</v>
      </c>
      <c r="CV45" t="e">
        <f>AND('Dry Cleaner'!#REF!,"AAAAAGX//2M=")</f>
        <v>#REF!</v>
      </c>
      <c r="CW45" t="e">
        <f>AND('Dry Cleaner'!#REF!,"AAAAAGX//2Q=")</f>
        <v>#REF!</v>
      </c>
      <c r="CX45" t="e">
        <f>IF('Dry Cleaner'!#REF!,"AAAAAGX//2U=",0)</f>
        <v>#REF!</v>
      </c>
      <c r="CY45" t="e">
        <f>AND('Dry Cleaner'!#REF!,"AAAAAGX//2Y=")</f>
        <v>#REF!</v>
      </c>
      <c r="CZ45" t="e">
        <f>AND('Dry Cleaner'!#REF!,"AAAAAGX//2c=")</f>
        <v>#REF!</v>
      </c>
      <c r="DA45" t="e">
        <f>AND('Dry Cleaner'!#REF!,"AAAAAGX//2g=")</f>
        <v>#REF!</v>
      </c>
      <c r="DB45" t="e">
        <f>AND('Dry Cleaner'!#REF!,"AAAAAGX//2k=")</f>
        <v>#REF!</v>
      </c>
      <c r="DC45" t="e">
        <f>AND('Dry Cleaner'!#REF!,"AAAAAGX//2o=")</f>
        <v>#REF!</v>
      </c>
      <c r="DD45" t="e">
        <f>AND('Dry Cleaner'!#REF!,"AAAAAGX//2s=")</f>
        <v>#REF!</v>
      </c>
      <c r="DE45" t="e">
        <f>AND('Dry Cleaner'!#REF!,"AAAAAGX//2w=")</f>
        <v>#REF!</v>
      </c>
      <c r="DF45" t="e">
        <f>AND('Dry Cleaner'!#REF!,"AAAAAGX//20=")</f>
        <v>#REF!</v>
      </c>
      <c r="DG45" t="e">
        <f>AND('Dry Cleaner'!#REF!,"AAAAAGX//24=")</f>
        <v>#REF!</v>
      </c>
      <c r="DH45" t="e">
        <f>AND('Dry Cleaner'!#REF!,"AAAAAGX//28=")</f>
        <v>#REF!</v>
      </c>
      <c r="DI45" t="e">
        <f>AND('Dry Cleaner'!#REF!,"AAAAAGX//3A=")</f>
        <v>#REF!</v>
      </c>
      <c r="DJ45" t="e">
        <f>AND('Dry Cleaner'!#REF!,"AAAAAGX//3E=")</f>
        <v>#REF!</v>
      </c>
      <c r="DK45" t="e">
        <f>AND('Dry Cleaner'!#REF!,"AAAAAGX//3I=")</f>
        <v>#REF!</v>
      </c>
      <c r="DL45" t="e">
        <f>AND('Dry Cleaner'!#REF!,"AAAAAGX//3M=")</f>
        <v>#REF!</v>
      </c>
      <c r="DM45" t="e">
        <f>AND('Dry Cleaner'!#REF!,"AAAAAGX//3Q=")</f>
        <v>#REF!</v>
      </c>
      <c r="DN45" t="e">
        <f>AND('Dry Cleaner'!#REF!,"AAAAAGX//3U=")</f>
        <v>#REF!</v>
      </c>
      <c r="DO45" t="e">
        <f>AND('Dry Cleaner'!#REF!,"AAAAAGX//3Y=")</f>
        <v>#REF!</v>
      </c>
      <c r="DP45" t="e">
        <f>AND('Dry Cleaner'!#REF!,"AAAAAGX//3c=")</f>
        <v>#REF!</v>
      </c>
      <c r="DQ45" t="e">
        <f>AND('Dry Cleaner'!#REF!,"AAAAAGX//3g=")</f>
        <v>#REF!</v>
      </c>
      <c r="DR45" t="e">
        <f>AND('Dry Cleaner'!#REF!,"AAAAAGX//3k=")</f>
        <v>#REF!</v>
      </c>
      <c r="DS45" t="e">
        <f>AND('Dry Cleaner'!#REF!,"AAAAAGX//3o=")</f>
        <v>#REF!</v>
      </c>
      <c r="DT45" t="e">
        <f>AND('Dry Cleaner'!#REF!,"AAAAAGX//3s=")</f>
        <v>#REF!</v>
      </c>
      <c r="DU45" t="e">
        <f>AND('Dry Cleaner'!#REF!,"AAAAAGX//3w=")</f>
        <v>#REF!</v>
      </c>
      <c r="DV45" t="e">
        <f>AND('Dry Cleaner'!#REF!,"AAAAAGX//30=")</f>
        <v>#REF!</v>
      </c>
      <c r="DW45" t="e">
        <f>AND('Dry Cleaner'!#REF!,"AAAAAGX//34=")</f>
        <v>#REF!</v>
      </c>
      <c r="DX45" t="e">
        <f>IF('Dry Cleaner'!#REF!,"AAAAAGX//38=",0)</f>
        <v>#REF!</v>
      </c>
      <c r="DY45" t="e">
        <f>AND('Dry Cleaner'!#REF!,"AAAAAGX//4A=")</f>
        <v>#REF!</v>
      </c>
      <c r="DZ45" t="e">
        <f>AND('Dry Cleaner'!#REF!,"AAAAAGX//4E=")</f>
        <v>#REF!</v>
      </c>
      <c r="EA45" t="e">
        <f>AND('Dry Cleaner'!#REF!,"AAAAAGX//4I=")</f>
        <v>#REF!</v>
      </c>
      <c r="EB45" t="e">
        <f>AND('Dry Cleaner'!#REF!,"AAAAAGX//4M=")</f>
        <v>#REF!</v>
      </c>
      <c r="EC45" t="e">
        <f>AND('Dry Cleaner'!#REF!,"AAAAAGX//4Q=")</f>
        <v>#REF!</v>
      </c>
      <c r="ED45" t="e">
        <f>AND('Dry Cleaner'!#REF!,"AAAAAGX//4U=")</f>
        <v>#REF!</v>
      </c>
      <c r="EE45" t="e">
        <f>AND('Dry Cleaner'!#REF!,"AAAAAGX//4Y=")</f>
        <v>#REF!</v>
      </c>
      <c r="EF45" t="e">
        <f>AND('Dry Cleaner'!#REF!,"AAAAAGX//4c=")</f>
        <v>#REF!</v>
      </c>
      <c r="EG45" t="e">
        <f>AND('Dry Cleaner'!#REF!,"AAAAAGX//4g=")</f>
        <v>#REF!</v>
      </c>
      <c r="EH45" t="e">
        <f>AND('Dry Cleaner'!#REF!,"AAAAAGX//4k=")</f>
        <v>#REF!</v>
      </c>
      <c r="EI45" t="e">
        <f>AND('Dry Cleaner'!#REF!,"AAAAAGX//4o=")</f>
        <v>#REF!</v>
      </c>
      <c r="EJ45" t="e">
        <f>AND('Dry Cleaner'!#REF!,"AAAAAGX//4s=")</f>
        <v>#REF!</v>
      </c>
      <c r="EK45" t="e">
        <f>AND('Dry Cleaner'!#REF!,"AAAAAGX//4w=")</f>
        <v>#REF!</v>
      </c>
      <c r="EL45" t="e">
        <f>AND('Dry Cleaner'!#REF!,"AAAAAGX//40=")</f>
        <v>#REF!</v>
      </c>
      <c r="EM45" t="e">
        <f>AND('Dry Cleaner'!#REF!,"AAAAAGX//44=")</f>
        <v>#REF!</v>
      </c>
      <c r="EN45" t="e">
        <f>AND('Dry Cleaner'!#REF!,"AAAAAGX//48=")</f>
        <v>#REF!</v>
      </c>
      <c r="EO45" t="e">
        <f>AND('Dry Cleaner'!#REF!,"AAAAAGX//5A=")</f>
        <v>#REF!</v>
      </c>
      <c r="EP45" t="e">
        <f>AND('Dry Cleaner'!#REF!,"AAAAAGX//5E=")</f>
        <v>#REF!</v>
      </c>
      <c r="EQ45" t="e">
        <f>AND('Dry Cleaner'!#REF!,"AAAAAGX//5I=")</f>
        <v>#REF!</v>
      </c>
      <c r="ER45" t="e">
        <f>AND('Dry Cleaner'!#REF!,"AAAAAGX//5M=")</f>
        <v>#REF!</v>
      </c>
      <c r="ES45" t="e">
        <f>AND('Dry Cleaner'!#REF!,"AAAAAGX//5Q=")</f>
        <v>#REF!</v>
      </c>
      <c r="ET45" t="e">
        <f>AND('Dry Cleaner'!#REF!,"AAAAAGX//5U=")</f>
        <v>#REF!</v>
      </c>
      <c r="EU45" t="e">
        <f>AND('Dry Cleaner'!#REF!,"AAAAAGX//5Y=")</f>
        <v>#REF!</v>
      </c>
      <c r="EV45" t="e">
        <f>AND('Dry Cleaner'!#REF!,"AAAAAGX//5c=")</f>
        <v>#REF!</v>
      </c>
      <c r="EW45" t="e">
        <f>AND('Dry Cleaner'!#REF!,"AAAAAGX//5g=")</f>
        <v>#REF!</v>
      </c>
      <c r="EX45" t="e">
        <f>IF('Dry Cleaner'!#REF!,"AAAAAGX//5k=",0)</f>
        <v>#REF!</v>
      </c>
      <c r="EY45" t="e">
        <f>AND('Dry Cleaner'!#REF!,"AAAAAGX//5o=")</f>
        <v>#REF!</v>
      </c>
      <c r="EZ45" t="e">
        <f>AND('Dry Cleaner'!#REF!,"AAAAAGX//5s=")</f>
        <v>#REF!</v>
      </c>
      <c r="FA45" t="e">
        <f>AND('Dry Cleaner'!#REF!,"AAAAAGX//5w=")</f>
        <v>#REF!</v>
      </c>
      <c r="FB45" t="e">
        <f>AND('Dry Cleaner'!#REF!,"AAAAAGX//50=")</f>
        <v>#REF!</v>
      </c>
      <c r="FC45" t="e">
        <f>AND('Dry Cleaner'!#REF!,"AAAAAGX//54=")</f>
        <v>#REF!</v>
      </c>
      <c r="FD45" t="e">
        <f>AND('Dry Cleaner'!#REF!,"AAAAAGX//58=")</f>
        <v>#REF!</v>
      </c>
      <c r="FE45" t="e">
        <f>AND('Dry Cleaner'!#REF!,"AAAAAGX//6A=")</f>
        <v>#REF!</v>
      </c>
      <c r="FF45" t="e">
        <f>AND('Dry Cleaner'!#REF!,"AAAAAGX//6E=")</f>
        <v>#REF!</v>
      </c>
      <c r="FG45" t="e">
        <f>AND('Dry Cleaner'!#REF!,"AAAAAGX//6I=")</f>
        <v>#REF!</v>
      </c>
      <c r="FH45" t="e">
        <f>AND('Dry Cleaner'!#REF!,"AAAAAGX//6M=")</f>
        <v>#REF!</v>
      </c>
      <c r="FI45" t="e">
        <f>AND('Dry Cleaner'!#REF!,"AAAAAGX//6Q=")</f>
        <v>#REF!</v>
      </c>
      <c r="FJ45" t="e">
        <f>AND('Dry Cleaner'!#REF!,"AAAAAGX//6U=")</f>
        <v>#REF!</v>
      </c>
      <c r="FK45" t="e">
        <f>AND('Dry Cleaner'!#REF!,"AAAAAGX//6Y=")</f>
        <v>#REF!</v>
      </c>
      <c r="FL45" t="e">
        <f>AND('Dry Cleaner'!#REF!,"AAAAAGX//6c=")</f>
        <v>#REF!</v>
      </c>
      <c r="FM45" t="e">
        <f>AND('Dry Cleaner'!#REF!,"AAAAAGX//6g=")</f>
        <v>#REF!</v>
      </c>
      <c r="FN45" t="e">
        <f>AND('Dry Cleaner'!#REF!,"AAAAAGX//6k=")</f>
        <v>#REF!</v>
      </c>
      <c r="FO45" t="e">
        <f>AND('Dry Cleaner'!#REF!,"AAAAAGX//6o=")</f>
        <v>#REF!</v>
      </c>
      <c r="FP45" t="e">
        <f>AND('Dry Cleaner'!#REF!,"AAAAAGX//6s=")</f>
        <v>#REF!</v>
      </c>
      <c r="FQ45" t="e">
        <f>AND('Dry Cleaner'!#REF!,"AAAAAGX//6w=")</f>
        <v>#REF!</v>
      </c>
      <c r="FR45" t="e">
        <f>AND('Dry Cleaner'!#REF!,"AAAAAGX//60=")</f>
        <v>#REF!</v>
      </c>
      <c r="FS45" t="e">
        <f>AND('Dry Cleaner'!#REF!,"AAAAAGX//64=")</f>
        <v>#REF!</v>
      </c>
      <c r="FT45" t="e">
        <f>AND('Dry Cleaner'!#REF!,"AAAAAGX//68=")</f>
        <v>#REF!</v>
      </c>
      <c r="FU45" t="e">
        <f>AND('Dry Cleaner'!#REF!,"AAAAAGX//7A=")</f>
        <v>#REF!</v>
      </c>
      <c r="FV45" t="e">
        <f>AND('Dry Cleaner'!#REF!,"AAAAAGX//7E=")</f>
        <v>#REF!</v>
      </c>
      <c r="FW45" t="e">
        <f>AND('Dry Cleaner'!#REF!,"AAAAAGX//7I=")</f>
        <v>#REF!</v>
      </c>
      <c r="FX45" t="e">
        <f>IF('Dry Cleaner'!#REF!,"AAAAAGX//7M=",0)</f>
        <v>#REF!</v>
      </c>
      <c r="FY45" t="e">
        <f>AND('Dry Cleaner'!#REF!,"AAAAAGX//7Q=")</f>
        <v>#REF!</v>
      </c>
      <c r="FZ45" t="e">
        <f>AND('Dry Cleaner'!#REF!,"AAAAAGX//7U=")</f>
        <v>#REF!</v>
      </c>
      <c r="GA45" t="e">
        <f>AND('Dry Cleaner'!#REF!,"AAAAAGX//7Y=")</f>
        <v>#REF!</v>
      </c>
      <c r="GB45" t="e">
        <f>AND('Dry Cleaner'!#REF!,"AAAAAGX//7c=")</f>
        <v>#REF!</v>
      </c>
      <c r="GC45" t="e">
        <f>AND('Dry Cleaner'!#REF!,"AAAAAGX//7g=")</f>
        <v>#REF!</v>
      </c>
      <c r="GD45" t="e">
        <f>AND('Dry Cleaner'!#REF!,"AAAAAGX//7k=")</f>
        <v>#REF!</v>
      </c>
      <c r="GE45" t="e">
        <f>AND('Dry Cleaner'!#REF!,"AAAAAGX//7o=")</f>
        <v>#REF!</v>
      </c>
      <c r="GF45" t="e">
        <f>AND('Dry Cleaner'!#REF!,"AAAAAGX//7s=")</f>
        <v>#REF!</v>
      </c>
      <c r="GG45" t="e">
        <f>AND('Dry Cleaner'!#REF!,"AAAAAGX//7w=")</f>
        <v>#REF!</v>
      </c>
      <c r="GH45" t="e">
        <f>AND('Dry Cleaner'!#REF!,"AAAAAGX//70=")</f>
        <v>#REF!</v>
      </c>
      <c r="GI45" t="e">
        <f>AND('Dry Cleaner'!#REF!,"AAAAAGX//74=")</f>
        <v>#REF!</v>
      </c>
      <c r="GJ45" t="e">
        <f>AND('Dry Cleaner'!#REF!,"AAAAAGX//78=")</f>
        <v>#REF!</v>
      </c>
      <c r="GK45" t="e">
        <f>AND('Dry Cleaner'!#REF!,"AAAAAGX//8A=")</f>
        <v>#REF!</v>
      </c>
      <c r="GL45" t="e">
        <f>AND('Dry Cleaner'!#REF!,"AAAAAGX//8E=")</f>
        <v>#REF!</v>
      </c>
      <c r="GM45" t="e">
        <f>AND('Dry Cleaner'!#REF!,"AAAAAGX//8I=")</f>
        <v>#REF!</v>
      </c>
      <c r="GN45" t="e">
        <f>AND('Dry Cleaner'!#REF!,"AAAAAGX//8M=")</f>
        <v>#REF!</v>
      </c>
      <c r="GO45" t="e">
        <f>AND('Dry Cleaner'!#REF!,"AAAAAGX//8Q=")</f>
        <v>#REF!</v>
      </c>
      <c r="GP45" t="e">
        <f>AND('Dry Cleaner'!#REF!,"AAAAAGX//8U=")</f>
        <v>#REF!</v>
      </c>
      <c r="GQ45" t="e">
        <f>AND('Dry Cleaner'!#REF!,"AAAAAGX//8Y=")</f>
        <v>#REF!</v>
      </c>
      <c r="GR45" t="e">
        <f>AND('Dry Cleaner'!#REF!,"AAAAAGX//8c=")</f>
        <v>#REF!</v>
      </c>
      <c r="GS45" t="e">
        <f>AND('Dry Cleaner'!#REF!,"AAAAAGX//8g=")</f>
        <v>#REF!</v>
      </c>
      <c r="GT45" t="e">
        <f>AND('Dry Cleaner'!#REF!,"AAAAAGX//8k=")</f>
        <v>#REF!</v>
      </c>
      <c r="GU45" t="e">
        <f>AND('Dry Cleaner'!#REF!,"AAAAAGX//8o=")</f>
        <v>#REF!</v>
      </c>
      <c r="GV45" t="e">
        <f>AND('Dry Cleaner'!#REF!,"AAAAAGX//8s=")</f>
        <v>#REF!</v>
      </c>
      <c r="GW45" t="e">
        <f>AND('Dry Cleaner'!#REF!,"AAAAAGX//8w=")</f>
        <v>#REF!</v>
      </c>
      <c r="GX45" t="e">
        <f>IF('Dry Cleaner'!#REF!,"AAAAAGX//80=",0)</f>
        <v>#REF!</v>
      </c>
      <c r="GY45" t="e">
        <f>AND('Dry Cleaner'!#REF!,"AAAAAGX//84=")</f>
        <v>#REF!</v>
      </c>
      <c r="GZ45" t="e">
        <f>AND('Dry Cleaner'!#REF!,"AAAAAGX//88=")</f>
        <v>#REF!</v>
      </c>
      <c r="HA45" t="e">
        <f>AND('Dry Cleaner'!#REF!,"AAAAAGX//9A=")</f>
        <v>#REF!</v>
      </c>
      <c r="HB45" t="e">
        <f>AND('Dry Cleaner'!#REF!,"AAAAAGX//9E=")</f>
        <v>#REF!</v>
      </c>
      <c r="HC45" t="e">
        <f>AND('Dry Cleaner'!#REF!,"AAAAAGX//9I=")</f>
        <v>#REF!</v>
      </c>
      <c r="HD45" t="e">
        <f>AND('Dry Cleaner'!#REF!,"AAAAAGX//9M=")</f>
        <v>#REF!</v>
      </c>
      <c r="HE45" t="e">
        <f>AND('Dry Cleaner'!#REF!,"AAAAAGX//9Q=")</f>
        <v>#REF!</v>
      </c>
      <c r="HF45" t="e">
        <f>AND('Dry Cleaner'!#REF!,"AAAAAGX//9U=")</f>
        <v>#REF!</v>
      </c>
      <c r="HG45" t="e">
        <f>AND('Dry Cleaner'!#REF!,"AAAAAGX//9Y=")</f>
        <v>#REF!</v>
      </c>
      <c r="HH45" t="e">
        <f>AND('Dry Cleaner'!#REF!,"AAAAAGX//9c=")</f>
        <v>#REF!</v>
      </c>
      <c r="HI45" t="e">
        <f>AND('Dry Cleaner'!#REF!,"AAAAAGX//9g=")</f>
        <v>#REF!</v>
      </c>
      <c r="HJ45" t="e">
        <f>AND('Dry Cleaner'!#REF!,"AAAAAGX//9k=")</f>
        <v>#REF!</v>
      </c>
      <c r="HK45" t="e">
        <f>AND('Dry Cleaner'!#REF!,"AAAAAGX//9o=")</f>
        <v>#REF!</v>
      </c>
      <c r="HL45" t="e">
        <f>AND('Dry Cleaner'!#REF!,"AAAAAGX//9s=")</f>
        <v>#REF!</v>
      </c>
      <c r="HM45" t="e">
        <f>AND('Dry Cleaner'!#REF!,"AAAAAGX//9w=")</f>
        <v>#REF!</v>
      </c>
      <c r="HN45" t="e">
        <f>AND('Dry Cleaner'!#REF!,"AAAAAGX//90=")</f>
        <v>#REF!</v>
      </c>
      <c r="HO45" t="e">
        <f>AND('Dry Cleaner'!#REF!,"AAAAAGX//94=")</f>
        <v>#REF!</v>
      </c>
      <c r="HP45" t="e">
        <f>AND('Dry Cleaner'!#REF!,"AAAAAGX//98=")</f>
        <v>#REF!</v>
      </c>
      <c r="HQ45" t="e">
        <f>AND('Dry Cleaner'!#REF!,"AAAAAGX//+A=")</f>
        <v>#REF!</v>
      </c>
      <c r="HR45" t="e">
        <f>AND('Dry Cleaner'!#REF!,"AAAAAGX//+E=")</f>
        <v>#REF!</v>
      </c>
      <c r="HS45" t="e">
        <f>AND('Dry Cleaner'!#REF!,"AAAAAGX//+I=")</f>
        <v>#REF!</v>
      </c>
      <c r="HT45" t="e">
        <f>AND('Dry Cleaner'!#REF!,"AAAAAGX//+M=")</f>
        <v>#REF!</v>
      </c>
      <c r="HU45" t="e">
        <f>AND('Dry Cleaner'!#REF!,"AAAAAGX//+Q=")</f>
        <v>#REF!</v>
      </c>
      <c r="HV45" t="e">
        <f>AND('Dry Cleaner'!#REF!,"AAAAAGX//+U=")</f>
        <v>#REF!</v>
      </c>
      <c r="HW45" t="e">
        <f>AND('Dry Cleaner'!#REF!,"AAAAAGX//+Y=")</f>
        <v>#REF!</v>
      </c>
      <c r="HX45" t="e">
        <f>IF('Dry Cleaner'!#REF!,"AAAAAGX//+c=",0)</f>
        <v>#REF!</v>
      </c>
      <c r="HY45" t="e">
        <f>AND('Dry Cleaner'!#REF!,"AAAAAGX//+g=")</f>
        <v>#REF!</v>
      </c>
      <c r="HZ45" t="e">
        <f>AND('Dry Cleaner'!#REF!,"AAAAAGX//+k=")</f>
        <v>#REF!</v>
      </c>
      <c r="IA45" t="e">
        <f>AND('Dry Cleaner'!#REF!,"AAAAAGX//+o=")</f>
        <v>#REF!</v>
      </c>
      <c r="IB45" t="e">
        <f>AND('Dry Cleaner'!#REF!,"AAAAAGX//+s=")</f>
        <v>#REF!</v>
      </c>
      <c r="IC45" t="e">
        <f>AND('Dry Cleaner'!#REF!,"AAAAAGX//+w=")</f>
        <v>#REF!</v>
      </c>
      <c r="ID45" t="e">
        <f>AND('Dry Cleaner'!#REF!,"AAAAAGX//+0=")</f>
        <v>#REF!</v>
      </c>
      <c r="IE45" t="e">
        <f>AND('Dry Cleaner'!#REF!,"AAAAAGX//+4=")</f>
        <v>#REF!</v>
      </c>
      <c r="IF45" t="e">
        <f>AND('Dry Cleaner'!#REF!,"AAAAAGX//+8=")</f>
        <v>#REF!</v>
      </c>
      <c r="IG45" t="e">
        <f>AND('Dry Cleaner'!#REF!,"AAAAAGX///A=")</f>
        <v>#REF!</v>
      </c>
      <c r="IH45" t="e">
        <f>AND('Dry Cleaner'!#REF!,"AAAAAGX///E=")</f>
        <v>#REF!</v>
      </c>
      <c r="II45" t="e">
        <f>AND('Dry Cleaner'!#REF!,"AAAAAGX///I=")</f>
        <v>#REF!</v>
      </c>
      <c r="IJ45" t="e">
        <f>AND('Dry Cleaner'!#REF!,"AAAAAGX///M=")</f>
        <v>#REF!</v>
      </c>
      <c r="IK45" t="e">
        <f>AND('Dry Cleaner'!#REF!,"AAAAAGX///Q=")</f>
        <v>#REF!</v>
      </c>
      <c r="IL45" t="e">
        <f>AND('Dry Cleaner'!#REF!,"AAAAAGX///U=")</f>
        <v>#REF!</v>
      </c>
      <c r="IM45" t="e">
        <f>AND('Dry Cleaner'!#REF!,"AAAAAGX///Y=")</f>
        <v>#REF!</v>
      </c>
      <c r="IN45" t="e">
        <f>AND('Dry Cleaner'!#REF!,"AAAAAGX///c=")</f>
        <v>#REF!</v>
      </c>
      <c r="IO45" t="e">
        <f>AND('Dry Cleaner'!#REF!,"AAAAAGX///g=")</f>
        <v>#REF!</v>
      </c>
      <c r="IP45" t="e">
        <f>AND('Dry Cleaner'!#REF!,"AAAAAGX///k=")</f>
        <v>#REF!</v>
      </c>
      <c r="IQ45" t="e">
        <f>AND('Dry Cleaner'!#REF!,"AAAAAGX///o=")</f>
        <v>#REF!</v>
      </c>
      <c r="IR45" t="e">
        <f>AND('Dry Cleaner'!#REF!,"AAAAAGX///s=")</f>
        <v>#REF!</v>
      </c>
      <c r="IS45" t="e">
        <f>AND('Dry Cleaner'!#REF!,"AAAAAGX///w=")</f>
        <v>#REF!</v>
      </c>
      <c r="IT45" t="e">
        <f>AND('Dry Cleaner'!#REF!,"AAAAAGX///0=")</f>
        <v>#REF!</v>
      </c>
      <c r="IU45" t="e">
        <f>AND('Dry Cleaner'!#REF!,"AAAAAGX///4=")</f>
        <v>#REF!</v>
      </c>
      <c r="IV45" t="e">
        <f>AND('Dry Cleaner'!#REF!,"AAAAAGX///8=")</f>
        <v>#REF!</v>
      </c>
    </row>
    <row r="46" spans="1:256">
      <c r="A46" t="e">
        <f>AND('Dry Cleaner'!#REF!,"AAAAAF/NewA=")</f>
        <v>#REF!</v>
      </c>
      <c r="B46" t="e">
        <f>IF('Dry Cleaner'!#REF!,"AAAAAF/NewE=",0)</f>
        <v>#REF!</v>
      </c>
      <c r="C46" t="e">
        <f>AND('Dry Cleaner'!#REF!,"AAAAAF/NewI=")</f>
        <v>#REF!</v>
      </c>
      <c r="D46" t="e">
        <f>AND('Dry Cleaner'!#REF!,"AAAAAF/NewM=")</f>
        <v>#REF!</v>
      </c>
      <c r="E46" t="e">
        <f>AND('Dry Cleaner'!#REF!,"AAAAAF/NewQ=")</f>
        <v>#REF!</v>
      </c>
      <c r="F46" t="e">
        <f>AND('Dry Cleaner'!#REF!,"AAAAAF/NewU=")</f>
        <v>#REF!</v>
      </c>
      <c r="G46" t="e">
        <f>AND('Dry Cleaner'!#REF!,"AAAAAF/NewY=")</f>
        <v>#REF!</v>
      </c>
      <c r="H46" t="e">
        <f>AND('Dry Cleaner'!#REF!,"AAAAAF/Newc=")</f>
        <v>#REF!</v>
      </c>
      <c r="I46" t="e">
        <f>AND('Dry Cleaner'!#REF!,"AAAAAF/Newg=")</f>
        <v>#REF!</v>
      </c>
      <c r="J46" t="e">
        <f>AND('Dry Cleaner'!#REF!,"AAAAAF/Newk=")</f>
        <v>#REF!</v>
      </c>
      <c r="K46" t="e">
        <f>AND('Dry Cleaner'!#REF!,"AAAAAF/Newo=")</f>
        <v>#REF!</v>
      </c>
      <c r="L46" t="e">
        <f>AND('Dry Cleaner'!#REF!,"AAAAAF/News=")</f>
        <v>#REF!</v>
      </c>
      <c r="M46" t="e">
        <f>AND('Dry Cleaner'!#REF!,"AAAAAF/Neww=")</f>
        <v>#REF!</v>
      </c>
      <c r="N46" t="e">
        <f>AND('Dry Cleaner'!#REF!,"AAAAAF/New0=")</f>
        <v>#REF!</v>
      </c>
      <c r="O46" t="e">
        <f>AND('Dry Cleaner'!#REF!,"AAAAAF/New4=")</f>
        <v>#REF!</v>
      </c>
      <c r="P46" t="e">
        <f>AND('Dry Cleaner'!#REF!,"AAAAAF/New8=")</f>
        <v>#REF!</v>
      </c>
      <c r="Q46" t="e">
        <f>AND('Dry Cleaner'!#REF!,"AAAAAF/NexA=")</f>
        <v>#REF!</v>
      </c>
      <c r="R46" t="e">
        <f>AND('Dry Cleaner'!#REF!,"AAAAAF/NexE=")</f>
        <v>#REF!</v>
      </c>
      <c r="S46" t="e">
        <f>AND('Dry Cleaner'!#REF!,"AAAAAF/NexI=")</f>
        <v>#REF!</v>
      </c>
      <c r="T46" t="e">
        <f>AND('Dry Cleaner'!#REF!,"AAAAAF/NexM=")</f>
        <v>#REF!</v>
      </c>
      <c r="U46" t="e">
        <f>AND('Dry Cleaner'!#REF!,"AAAAAF/NexQ=")</f>
        <v>#REF!</v>
      </c>
      <c r="V46" t="e">
        <f>AND('Dry Cleaner'!#REF!,"AAAAAF/NexU=")</f>
        <v>#REF!</v>
      </c>
      <c r="W46" t="e">
        <f>AND('Dry Cleaner'!#REF!,"AAAAAF/NexY=")</f>
        <v>#REF!</v>
      </c>
      <c r="X46" t="e">
        <f>AND('Dry Cleaner'!#REF!,"AAAAAF/Nexc=")</f>
        <v>#REF!</v>
      </c>
      <c r="Y46" t="e">
        <f>AND('Dry Cleaner'!#REF!,"AAAAAF/Nexg=")</f>
        <v>#REF!</v>
      </c>
      <c r="Z46" t="e">
        <f>AND('Dry Cleaner'!#REF!,"AAAAAF/Nexk=")</f>
        <v>#REF!</v>
      </c>
      <c r="AA46" t="e">
        <f>AND('Dry Cleaner'!#REF!,"AAAAAF/Nexo=")</f>
        <v>#REF!</v>
      </c>
      <c r="AB46" t="e">
        <f>IF('Dry Cleaner'!#REF!,"AAAAAF/Nexs=",0)</f>
        <v>#REF!</v>
      </c>
      <c r="AC46" t="e">
        <f>AND('Dry Cleaner'!#REF!,"AAAAAF/Nexw=")</f>
        <v>#REF!</v>
      </c>
      <c r="AD46" t="e">
        <f>AND('Dry Cleaner'!#REF!,"AAAAAF/Nex0=")</f>
        <v>#REF!</v>
      </c>
      <c r="AE46" t="e">
        <f>AND('Dry Cleaner'!#REF!,"AAAAAF/Nex4=")</f>
        <v>#REF!</v>
      </c>
      <c r="AF46" t="e">
        <f>AND('Dry Cleaner'!#REF!,"AAAAAF/Nex8=")</f>
        <v>#REF!</v>
      </c>
      <c r="AG46" t="e">
        <f>AND('Dry Cleaner'!#REF!,"AAAAAF/NeyA=")</f>
        <v>#REF!</v>
      </c>
      <c r="AH46" t="e">
        <f>AND('Dry Cleaner'!#REF!,"AAAAAF/NeyE=")</f>
        <v>#REF!</v>
      </c>
      <c r="AI46" t="e">
        <f>AND('Dry Cleaner'!#REF!,"AAAAAF/NeyI=")</f>
        <v>#REF!</v>
      </c>
      <c r="AJ46" t="e">
        <f>AND('Dry Cleaner'!#REF!,"AAAAAF/NeyM=")</f>
        <v>#REF!</v>
      </c>
      <c r="AK46" t="e">
        <f>AND('Dry Cleaner'!#REF!,"AAAAAF/NeyQ=")</f>
        <v>#REF!</v>
      </c>
      <c r="AL46" t="e">
        <f>AND('Dry Cleaner'!#REF!,"AAAAAF/NeyU=")</f>
        <v>#REF!</v>
      </c>
      <c r="AM46" t="e">
        <f>AND('Dry Cleaner'!#REF!,"AAAAAF/NeyY=")</f>
        <v>#REF!</v>
      </c>
      <c r="AN46" t="e">
        <f>AND('Dry Cleaner'!#REF!,"AAAAAF/Neyc=")</f>
        <v>#REF!</v>
      </c>
      <c r="AO46" t="e">
        <f>AND('Dry Cleaner'!#REF!,"AAAAAF/Neyg=")</f>
        <v>#REF!</v>
      </c>
      <c r="AP46" t="e">
        <f>AND('Dry Cleaner'!#REF!,"AAAAAF/Neyk=")</f>
        <v>#REF!</v>
      </c>
      <c r="AQ46" t="e">
        <f>AND('Dry Cleaner'!#REF!,"AAAAAF/Neyo=")</f>
        <v>#REF!</v>
      </c>
      <c r="AR46" t="e">
        <f>AND('Dry Cleaner'!#REF!,"AAAAAF/Neys=")</f>
        <v>#REF!</v>
      </c>
      <c r="AS46" t="e">
        <f>AND('Dry Cleaner'!#REF!,"AAAAAF/Neyw=")</f>
        <v>#REF!</v>
      </c>
      <c r="AT46" t="e">
        <f>AND('Dry Cleaner'!#REF!,"AAAAAF/Ney0=")</f>
        <v>#REF!</v>
      </c>
      <c r="AU46" t="e">
        <f>AND('Dry Cleaner'!#REF!,"AAAAAF/Ney4=")</f>
        <v>#REF!</v>
      </c>
      <c r="AV46" t="e">
        <f>AND('Dry Cleaner'!#REF!,"AAAAAF/Ney8=")</f>
        <v>#REF!</v>
      </c>
      <c r="AW46" t="e">
        <f>AND('Dry Cleaner'!#REF!,"AAAAAF/NezA=")</f>
        <v>#REF!</v>
      </c>
      <c r="AX46" t="e">
        <f>AND('Dry Cleaner'!#REF!,"AAAAAF/NezE=")</f>
        <v>#REF!</v>
      </c>
      <c r="AY46" t="e">
        <f>AND('Dry Cleaner'!#REF!,"AAAAAF/NezI=")</f>
        <v>#REF!</v>
      </c>
      <c r="AZ46" t="e">
        <f>AND('Dry Cleaner'!#REF!,"AAAAAF/NezM=")</f>
        <v>#REF!</v>
      </c>
      <c r="BA46" t="e">
        <f>AND('Dry Cleaner'!#REF!,"AAAAAF/NezQ=")</f>
        <v>#REF!</v>
      </c>
      <c r="BB46" t="e">
        <f>IF('Dry Cleaner'!#REF!,"AAAAAF/NezU=",0)</f>
        <v>#REF!</v>
      </c>
      <c r="BC46" t="e">
        <f>AND('Dry Cleaner'!#REF!,"AAAAAF/NezY=")</f>
        <v>#REF!</v>
      </c>
      <c r="BD46" t="e">
        <f>AND('Dry Cleaner'!#REF!,"AAAAAF/Nezc=")</f>
        <v>#REF!</v>
      </c>
      <c r="BE46" t="e">
        <f>AND('Dry Cleaner'!#REF!,"AAAAAF/Nezg=")</f>
        <v>#REF!</v>
      </c>
      <c r="BF46" t="e">
        <f>AND('Dry Cleaner'!#REF!,"AAAAAF/Nezk=")</f>
        <v>#REF!</v>
      </c>
      <c r="BG46" t="e">
        <f>AND('Dry Cleaner'!#REF!,"AAAAAF/Nezo=")</f>
        <v>#REF!</v>
      </c>
      <c r="BH46" t="e">
        <f>AND('Dry Cleaner'!#REF!,"AAAAAF/Nezs=")</f>
        <v>#REF!</v>
      </c>
      <c r="BI46" t="e">
        <f>AND('Dry Cleaner'!#REF!,"AAAAAF/Nezw=")</f>
        <v>#REF!</v>
      </c>
      <c r="BJ46" t="e">
        <f>AND('Dry Cleaner'!#REF!,"AAAAAF/Nez0=")</f>
        <v>#REF!</v>
      </c>
      <c r="BK46" t="e">
        <f>AND('Dry Cleaner'!#REF!,"AAAAAF/Nez4=")</f>
        <v>#REF!</v>
      </c>
      <c r="BL46" t="e">
        <f>AND('Dry Cleaner'!#REF!,"AAAAAF/Nez8=")</f>
        <v>#REF!</v>
      </c>
      <c r="BM46" t="e">
        <f>AND('Dry Cleaner'!#REF!,"AAAAAF/Ne0A=")</f>
        <v>#REF!</v>
      </c>
      <c r="BN46" t="e">
        <f>AND('Dry Cleaner'!#REF!,"AAAAAF/Ne0E=")</f>
        <v>#REF!</v>
      </c>
      <c r="BO46" t="e">
        <f>AND('Dry Cleaner'!#REF!,"AAAAAF/Ne0I=")</f>
        <v>#REF!</v>
      </c>
      <c r="BP46" t="e">
        <f>AND('Dry Cleaner'!#REF!,"AAAAAF/Ne0M=")</f>
        <v>#REF!</v>
      </c>
      <c r="BQ46" t="e">
        <f>AND('Dry Cleaner'!#REF!,"AAAAAF/Ne0Q=")</f>
        <v>#REF!</v>
      </c>
      <c r="BR46" t="e">
        <f>AND('Dry Cleaner'!#REF!,"AAAAAF/Ne0U=")</f>
        <v>#REF!</v>
      </c>
      <c r="BS46" t="e">
        <f>AND('Dry Cleaner'!#REF!,"AAAAAF/Ne0Y=")</f>
        <v>#REF!</v>
      </c>
      <c r="BT46" t="e">
        <f>AND('Dry Cleaner'!#REF!,"AAAAAF/Ne0c=")</f>
        <v>#REF!</v>
      </c>
      <c r="BU46" t="e">
        <f>AND('Dry Cleaner'!#REF!,"AAAAAF/Ne0g=")</f>
        <v>#REF!</v>
      </c>
      <c r="BV46" t="e">
        <f>AND('Dry Cleaner'!#REF!,"AAAAAF/Ne0k=")</f>
        <v>#REF!</v>
      </c>
      <c r="BW46" t="e">
        <f>AND('Dry Cleaner'!#REF!,"AAAAAF/Ne0o=")</f>
        <v>#REF!</v>
      </c>
      <c r="BX46" t="e">
        <f>AND('Dry Cleaner'!#REF!,"AAAAAF/Ne0s=")</f>
        <v>#REF!</v>
      </c>
      <c r="BY46" t="e">
        <f>AND('Dry Cleaner'!#REF!,"AAAAAF/Ne0w=")</f>
        <v>#REF!</v>
      </c>
      <c r="BZ46" t="e">
        <f>AND('Dry Cleaner'!#REF!,"AAAAAF/Ne00=")</f>
        <v>#REF!</v>
      </c>
      <c r="CA46" t="e">
        <f>AND('Dry Cleaner'!#REF!,"AAAAAF/Ne04=")</f>
        <v>#REF!</v>
      </c>
      <c r="CB46">
        <f>IF('Dry Cleaner'!8:8,"AAAAAF/Ne08=",0)</f>
        <v>0</v>
      </c>
      <c r="CC46" t="e">
        <f>AND('Dry Cleaner'!A8,"AAAAAF/Ne1A=")</f>
        <v>#VALUE!</v>
      </c>
      <c r="CD46" t="e">
        <f>AND('Dry Cleaner'!B8,"AAAAAF/Ne1E=")</f>
        <v>#VALUE!</v>
      </c>
      <c r="CE46" t="e">
        <f>AND('Dry Cleaner'!C8,"AAAAAF/Ne1I=")</f>
        <v>#VALUE!</v>
      </c>
      <c r="CF46" t="e">
        <f>AND('Dry Cleaner'!D8,"AAAAAF/Ne1M=")</f>
        <v>#VALUE!</v>
      </c>
      <c r="CG46" t="e">
        <f>AND('Dry Cleaner'!E8,"AAAAAF/Ne1Q=")</f>
        <v>#VALUE!</v>
      </c>
      <c r="CH46" t="e">
        <f>AND('Dry Cleaner'!F8,"AAAAAF/Ne1U=")</f>
        <v>#VALUE!</v>
      </c>
      <c r="CI46" t="e">
        <f>AND('Dry Cleaner'!G8,"AAAAAF/Ne1Y=")</f>
        <v>#VALUE!</v>
      </c>
      <c r="CJ46" t="e">
        <f>AND('Dry Cleaner'!H8,"AAAAAF/Ne1c=")</f>
        <v>#VALUE!</v>
      </c>
      <c r="CK46" t="e">
        <f>AND('Dry Cleaner'!I8,"AAAAAF/Ne1g=")</f>
        <v>#VALUE!</v>
      </c>
      <c r="CL46" t="e">
        <f>AND('Dry Cleaner'!J8,"AAAAAF/Ne1k=")</f>
        <v>#VALUE!</v>
      </c>
      <c r="CM46" t="e">
        <f>AND('Dry Cleaner'!K8,"AAAAAF/Ne1o=")</f>
        <v>#VALUE!</v>
      </c>
      <c r="CN46" t="e">
        <f>AND('Dry Cleaner'!L8,"AAAAAF/Ne1s=")</f>
        <v>#VALUE!</v>
      </c>
      <c r="CO46" t="e">
        <f>AND('Dry Cleaner'!M8,"AAAAAF/Ne1w=")</f>
        <v>#VALUE!</v>
      </c>
      <c r="CP46" t="e">
        <f>AND('Dry Cleaner'!N8,"AAAAAF/Ne10=")</f>
        <v>#VALUE!</v>
      </c>
      <c r="CQ46" t="e">
        <f>AND('Dry Cleaner'!O8,"AAAAAF/Ne14=")</f>
        <v>#VALUE!</v>
      </c>
      <c r="CR46" t="e">
        <f>AND('Dry Cleaner'!P8,"AAAAAF/Ne18=")</f>
        <v>#VALUE!</v>
      </c>
      <c r="CS46" t="e">
        <f>AND('Dry Cleaner'!Q8,"AAAAAF/Ne2A=")</f>
        <v>#VALUE!</v>
      </c>
      <c r="CT46" t="e">
        <f>AND('Dry Cleaner'!R8,"AAAAAF/Ne2E=")</f>
        <v>#VALUE!</v>
      </c>
      <c r="CU46" t="e">
        <f>AND('Dry Cleaner'!S8,"AAAAAF/Ne2I=")</f>
        <v>#VALUE!</v>
      </c>
      <c r="CV46" t="e">
        <f>AND('Dry Cleaner'!T8,"AAAAAF/Ne2M=")</f>
        <v>#VALUE!</v>
      </c>
      <c r="CW46" t="e">
        <f>AND('Dry Cleaner'!U8,"AAAAAF/Ne2Q=")</f>
        <v>#VALUE!</v>
      </c>
      <c r="CX46" t="e">
        <f>AND('Dry Cleaner'!V8,"AAAAAF/Ne2U=")</f>
        <v>#VALUE!</v>
      </c>
      <c r="CY46" t="e">
        <f>AND('Dry Cleaner'!W8,"AAAAAF/Ne2Y=")</f>
        <v>#VALUE!</v>
      </c>
      <c r="CZ46" t="e">
        <f>AND('Dry Cleaner'!X8,"AAAAAF/Ne2c=")</f>
        <v>#VALUE!</v>
      </c>
      <c r="DA46" t="e">
        <f>AND('Dry Cleaner'!Y8,"AAAAAF/Ne2g=")</f>
        <v>#VALUE!</v>
      </c>
      <c r="DB46" t="e">
        <f>IF('Dry Cleaner'!#REF!,"AAAAAF/Ne2k=",0)</f>
        <v>#REF!</v>
      </c>
      <c r="DC46" t="e">
        <f>AND('Dry Cleaner'!#REF!,"AAAAAF/Ne2o=")</f>
        <v>#REF!</v>
      </c>
      <c r="DD46" t="e">
        <f>AND('Dry Cleaner'!#REF!,"AAAAAF/Ne2s=")</f>
        <v>#REF!</v>
      </c>
      <c r="DE46" t="e">
        <f>AND('Dry Cleaner'!#REF!,"AAAAAF/Ne2w=")</f>
        <v>#REF!</v>
      </c>
      <c r="DF46" t="e">
        <f>AND('Dry Cleaner'!#REF!,"AAAAAF/Ne20=")</f>
        <v>#REF!</v>
      </c>
      <c r="DG46" t="e">
        <f>AND('Dry Cleaner'!#REF!,"AAAAAF/Ne24=")</f>
        <v>#REF!</v>
      </c>
      <c r="DH46" t="e">
        <f>AND('Dry Cleaner'!#REF!,"AAAAAF/Ne28=")</f>
        <v>#REF!</v>
      </c>
      <c r="DI46" t="e">
        <f>AND('Dry Cleaner'!#REF!,"AAAAAF/Ne3A=")</f>
        <v>#REF!</v>
      </c>
      <c r="DJ46" t="e">
        <f>AND('Dry Cleaner'!#REF!,"AAAAAF/Ne3E=")</f>
        <v>#REF!</v>
      </c>
      <c r="DK46" t="e">
        <f>AND('Dry Cleaner'!#REF!,"AAAAAF/Ne3I=")</f>
        <v>#REF!</v>
      </c>
      <c r="DL46" t="e">
        <f>AND('Dry Cleaner'!#REF!,"AAAAAF/Ne3M=")</f>
        <v>#REF!</v>
      </c>
      <c r="DM46" t="e">
        <f>AND('Dry Cleaner'!#REF!,"AAAAAF/Ne3Q=")</f>
        <v>#REF!</v>
      </c>
      <c r="DN46" t="e">
        <f>AND('Dry Cleaner'!#REF!,"AAAAAF/Ne3U=")</f>
        <v>#REF!</v>
      </c>
      <c r="DO46" t="e">
        <f>AND('Dry Cleaner'!#REF!,"AAAAAF/Ne3Y=")</f>
        <v>#REF!</v>
      </c>
      <c r="DP46" t="e">
        <f>AND('Dry Cleaner'!#REF!,"AAAAAF/Ne3c=")</f>
        <v>#REF!</v>
      </c>
      <c r="DQ46" t="e">
        <f>AND('Dry Cleaner'!#REF!,"AAAAAF/Ne3g=")</f>
        <v>#REF!</v>
      </c>
      <c r="DR46" t="e">
        <f>AND('Dry Cleaner'!#REF!,"AAAAAF/Ne3k=")</f>
        <v>#REF!</v>
      </c>
      <c r="DS46" t="e">
        <f>AND('Dry Cleaner'!#REF!,"AAAAAF/Ne3o=")</f>
        <v>#REF!</v>
      </c>
      <c r="DT46" t="e">
        <f>AND('Dry Cleaner'!#REF!,"AAAAAF/Ne3s=")</f>
        <v>#REF!</v>
      </c>
      <c r="DU46" t="e">
        <f>AND('Dry Cleaner'!#REF!,"AAAAAF/Ne3w=")</f>
        <v>#REF!</v>
      </c>
      <c r="DV46" t="e">
        <f>AND('Dry Cleaner'!#REF!,"AAAAAF/Ne30=")</f>
        <v>#REF!</v>
      </c>
      <c r="DW46" t="e">
        <f>AND('Dry Cleaner'!#REF!,"AAAAAF/Ne34=")</f>
        <v>#REF!</v>
      </c>
      <c r="DX46" t="e">
        <f>AND('Dry Cleaner'!#REF!,"AAAAAF/Ne38=")</f>
        <v>#REF!</v>
      </c>
      <c r="DY46" t="e">
        <f>AND('Dry Cleaner'!#REF!,"AAAAAF/Ne4A=")</f>
        <v>#REF!</v>
      </c>
      <c r="DZ46" t="e">
        <f>AND('Dry Cleaner'!#REF!,"AAAAAF/Ne4E=")</f>
        <v>#REF!</v>
      </c>
      <c r="EA46" t="e">
        <f>AND('Dry Cleaner'!#REF!,"AAAAAF/Ne4I=")</f>
        <v>#REF!</v>
      </c>
      <c r="EB46" t="e">
        <f>IF('Dry Cleaner'!#REF!,"AAAAAF/Ne4M=",0)</f>
        <v>#REF!</v>
      </c>
      <c r="EC46" t="e">
        <f>AND('Dry Cleaner'!#REF!,"AAAAAF/Ne4Q=")</f>
        <v>#REF!</v>
      </c>
      <c r="ED46" t="e">
        <f>AND('Dry Cleaner'!#REF!,"AAAAAF/Ne4U=")</f>
        <v>#REF!</v>
      </c>
      <c r="EE46" t="e">
        <f>AND('Dry Cleaner'!#REF!,"AAAAAF/Ne4Y=")</f>
        <v>#REF!</v>
      </c>
      <c r="EF46" t="e">
        <f>AND('Dry Cleaner'!#REF!,"AAAAAF/Ne4c=")</f>
        <v>#REF!</v>
      </c>
      <c r="EG46" t="e">
        <f>AND('Dry Cleaner'!#REF!,"AAAAAF/Ne4g=")</f>
        <v>#REF!</v>
      </c>
      <c r="EH46" t="e">
        <f>AND('Dry Cleaner'!#REF!,"AAAAAF/Ne4k=")</f>
        <v>#REF!</v>
      </c>
      <c r="EI46" t="e">
        <f>AND('Dry Cleaner'!#REF!,"AAAAAF/Ne4o=")</f>
        <v>#REF!</v>
      </c>
      <c r="EJ46" t="e">
        <f>AND('Dry Cleaner'!#REF!,"AAAAAF/Ne4s=")</f>
        <v>#REF!</v>
      </c>
      <c r="EK46" t="e">
        <f>AND('Dry Cleaner'!#REF!,"AAAAAF/Ne4w=")</f>
        <v>#REF!</v>
      </c>
      <c r="EL46" t="e">
        <f>AND('Dry Cleaner'!#REF!,"AAAAAF/Ne40=")</f>
        <v>#REF!</v>
      </c>
      <c r="EM46" t="e">
        <f>AND('Dry Cleaner'!#REF!,"AAAAAF/Ne44=")</f>
        <v>#REF!</v>
      </c>
      <c r="EN46" t="e">
        <f>AND('Dry Cleaner'!#REF!,"AAAAAF/Ne48=")</f>
        <v>#REF!</v>
      </c>
      <c r="EO46" t="e">
        <f>AND('Dry Cleaner'!#REF!,"AAAAAF/Ne5A=")</f>
        <v>#REF!</v>
      </c>
      <c r="EP46" t="e">
        <f>AND('Dry Cleaner'!#REF!,"AAAAAF/Ne5E=")</f>
        <v>#REF!</v>
      </c>
      <c r="EQ46" t="e">
        <f>AND('Dry Cleaner'!#REF!,"AAAAAF/Ne5I=")</f>
        <v>#REF!</v>
      </c>
      <c r="ER46" t="e">
        <f>AND('Dry Cleaner'!#REF!,"AAAAAF/Ne5M=")</f>
        <v>#REF!</v>
      </c>
      <c r="ES46" t="e">
        <f>AND('Dry Cleaner'!#REF!,"AAAAAF/Ne5Q=")</f>
        <v>#REF!</v>
      </c>
      <c r="ET46" t="e">
        <f>AND('Dry Cleaner'!#REF!,"AAAAAF/Ne5U=")</f>
        <v>#REF!</v>
      </c>
      <c r="EU46" t="e">
        <f>AND('Dry Cleaner'!#REF!,"AAAAAF/Ne5Y=")</f>
        <v>#REF!</v>
      </c>
      <c r="EV46" t="e">
        <f>AND('Dry Cleaner'!#REF!,"AAAAAF/Ne5c=")</f>
        <v>#REF!</v>
      </c>
      <c r="EW46" t="e">
        <f>AND('Dry Cleaner'!#REF!,"AAAAAF/Ne5g=")</f>
        <v>#REF!</v>
      </c>
      <c r="EX46" t="e">
        <f>AND('Dry Cleaner'!#REF!,"AAAAAF/Ne5k=")</f>
        <v>#REF!</v>
      </c>
      <c r="EY46" t="e">
        <f>AND('Dry Cleaner'!#REF!,"AAAAAF/Ne5o=")</f>
        <v>#REF!</v>
      </c>
      <c r="EZ46" t="e">
        <f>AND('Dry Cleaner'!#REF!,"AAAAAF/Ne5s=")</f>
        <v>#REF!</v>
      </c>
      <c r="FA46" t="e">
        <f>AND('Dry Cleaner'!#REF!,"AAAAAF/Ne5w=")</f>
        <v>#REF!</v>
      </c>
      <c r="FB46" t="e">
        <f>IF('Dry Cleaner'!#REF!,"AAAAAF/Ne50=",0)</f>
        <v>#REF!</v>
      </c>
      <c r="FC46" t="e">
        <f>AND('Dry Cleaner'!#REF!,"AAAAAF/Ne54=")</f>
        <v>#REF!</v>
      </c>
      <c r="FD46" t="e">
        <f>AND('Dry Cleaner'!#REF!,"AAAAAF/Ne58=")</f>
        <v>#REF!</v>
      </c>
      <c r="FE46" t="e">
        <f>AND('Dry Cleaner'!#REF!,"AAAAAF/Ne6A=")</f>
        <v>#REF!</v>
      </c>
      <c r="FF46" t="e">
        <f>AND('Dry Cleaner'!#REF!,"AAAAAF/Ne6E=")</f>
        <v>#REF!</v>
      </c>
      <c r="FG46" t="e">
        <f>AND('Dry Cleaner'!#REF!,"AAAAAF/Ne6I=")</f>
        <v>#REF!</v>
      </c>
      <c r="FH46" t="e">
        <f>AND('Dry Cleaner'!#REF!,"AAAAAF/Ne6M=")</f>
        <v>#REF!</v>
      </c>
      <c r="FI46" t="e">
        <f>AND('Dry Cleaner'!#REF!,"AAAAAF/Ne6Q=")</f>
        <v>#REF!</v>
      </c>
      <c r="FJ46" t="e">
        <f>AND('Dry Cleaner'!#REF!,"AAAAAF/Ne6U=")</f>
        <v>#REF!</v>
      </c>
      <c r="FK46" t="e">
        <f>AND('Dry Cleaner'!#REF!,"AAAAAF/Ne6Y=")</f>
        <v>#REF!</v>
      </c>
      <c r="FL46" t="e">
        <f>AND('Dry Cleaner'!#REF!,"AAAAAF/Ne6c=")</f>
        <v>#REF!</v>
      </c>
      <c r="FM46" t="e">
        <f>AND('Dry Cleaner'!#REF!,"AAAAAF/Ne6g=")</f>
        <v>#REF!</v>
      </c>
      <c r="FN46" t="e">
        <f>AND('Dry Cleaner'!#REF!,"AAAAAF/Ne6k=")</f>
        <v>#REF!</v>
      </c>
      <c r="FO46" t="e">
        <f>AND('Dry Cleaner'!#REF!,"AAAAAF/Ne6o=")</f>
        <v>#REF!</v>
      </c>
      <c r="FP46" t="e">
        <f>AND('Dry Cleaner'!#REF!,"AAAAAF/Ne6s=")</f>
        <v>#REF!</v>
      </c>
      <c r="FQ46" t="e">
        <f>AND('Dry Cleaner'!#REF!,"AAAAAF/Ne6w=")</f>
        <v>#REF!</v>
      </c>
      <c r="FR46" t="e">
        <f>AND('Dry Cleaner'!#REF!,"AAAAAF/Ne60=")</f>
        <v>#REF!</v>
      </c>
      <c r="FS46" t="e">
        <f>AND('Dry Cleaner'!#REF!,"AAAAAF/Ne64=")</f>
        <v>#REF!</v>
      </c>
      <c r="FT46" t="e">
        <f>AND('Dry Cleaner'!#REF!,"AAAAAF/Ne68=")</f>
        <v>#REF!</v>
      </c>
      <c r="FU46" t="e">
        <f>AND('Dry Cleaner'!#REF!,"AAAAAF/Ne7A=")</f>
        <v>#REF!</v>
      </c>
      <c r="FV46" t="e">
        <f>AND('Dry Cleaner'!#REF!,"AAAAAF/Ne7E=")</f>
        <v>#REF!</v>
      </c>
      <c r="FW46" t="e">
        <f>AND('Dry Cleaner'!#REF!,"AAAAAF/Ne7I=")</f>
        <v>#REF!</v>
      </c>
      <c r="FX46" t="e">
        <f>AND('Dry Cleaner'!#REF!,"AAAAAF/Ne7M=")</f>
        <v>#REF!</v>
      </c>
      <c r="FY46" t="e">
        <f>AND('Dry Cleaner'!#REF!,"AAAAAF/Ne7Q=")</f>
        <v>#REF!</v>
      </c>
      <c r="FZ46" t="e">
        <f>AND('Dry Cleaner'!#REF!,"AAAAAF/Ne7U=")</f>
        <v>#REF!</v>
      </c>
      <c r="GA46" t="e">
        <f>AND('Dry Cleaner'!#REF!,"AAAAAF/Ne7Y=")</f>
        <v>#REF!</v>
      </c>
      <c r="GB46" t="e">
        <f>IF('Dry Cleaner'!#REF!,"AAAAAF/Ne7c=",0)</f>
        <v>#REF!</v>
      </c>
      <c r="GC46" t="e">
        <f>AND('Dry Cleaner'!#REF!,"AAAAAF/Ne7g=")</f>
        <v>#REF!</v>
      </c>
      <c r="GD46" t="e">
        <f>AND('Dry Cleaner'!#REF!,"AAAAAF/Ne7k=")</f>
        <v>#REF!</v>
      </c>
      <c r="GE46" t="e">
        <f>AND('Dry Cleaner'!#REF!,"AAAAAF/Ne7o=")</f>
        <v>#REF!</v>
      </c>
      <c r="GF46" t="e">
        <f>AND('Dry Cleaner'!#REF!,"AAAAAF/Ne7s=")</f>
        <v>#REF!</v>
      </c>
      <c r="GG46" t="e">
        <f>AND('Dry Cleaner'!#REF!,"AAAAAF/Ne7w=")</f>
        <v>#REF!</v>
      </c>
      <c r="GH46" t="e">
        <f>AND('Dry Cleaner'!#REF!,"AAAAAF/Ne70=")</f>
        <v>#REF!</v>
      </c>
      <c r="GI46" t="e">
        <f>AND('Dry Cleaner'!#REF!,"AAAAAF/Ne74=")</f>
        <v>#REF!</v>
      </c>
      <c r="GJ46" t="e">
        <f>AND('Dry Cleaner'!#REF!,"AAAAAF/Ne78=")</f>
        <v>#REF!</v>
      </c>
      <c r="GK46" t="e">
        <f>AND('Dry Cleaner'!#REF!,"AAAAAF/Ne8A=")</f>
        <v>#REF!</v>
      </c>
      <c r="GL46" t="e">
        <f>AND('Dry Cleaner'!#REF!,"AAAAAF/Ne8E=")</f>
        <v>#REF!</v>
      </c>
      <c r="GM46" t="e">
        <f>AND('Dry Cleaner'!#REF!,"AAAAAF/Ne8I=")</f>
        <v>#REF!</v>
      </c>
      <c r="GN46" t="e">
        <f>AND('Dry Cleaner'!#REF!,"AAAAAF/Ne8M=")</f>
        <v>#REF!</v>
      </c>
      <c r="GO46" t="e">
        <f>AND('Dry Cleaner'!#REF!,"AAAAAF/Ne8Q=")</f>
        <v>#REF!</v>
      </c>
      <c r="GP46" t="e">
        <f>AND('Dry Cleaner'!#REF!,"AAAAAF/Ne8U=")</f>
        <v>#REF!</v>
      </c>
      <c r="GQ46" t="e">
        <f>AND('Dry Cleaner'!#REF!,"AAAAAF/Ne8Y=")</f>
        <v>#REF!</v>
      </c>
      <c r="GR46" t="e">
        <f>AND('Dry Cleaner'!#REF!,"AAAAAF/Ne8c=")</f>
        <v>#REF!</v>
      </c>
      <c r="GS46" t="e">
        <f>AND('Dry Cleaner'!#REF!,"AAAAAF/Ne8g=")</f>
        <v>#REF!</v>
      </c>
      <c r="GT46" t="e">
        <f>AND('Dry Cleaner'!#REF!,"AAAAAF/Ne8k=")</f>
        <v>#REF!</v>
      </c>
      <c r="GU46" t="e">
        <f>AND('Dry Cleaner'!#REF!,"AAAAAF/Ne8o=")</f>
        <v>#REF!</v>
      </c>
      <c r="GV46" t="e">
        <f>AND('Dry Cleaner'!#REF!,"AAAAAF/Ne8s=")</f>
        <v>#REF!</v>
      </c>
      <c r="GW46" t="e">
        <f>AND('Dry Cleaner'!#REF!,"AAAAAF/Ne8w=")</f>
        <v>#REF!</v>
      </c>
      <c r="GX46" t="e">
        <f>AND('Dry Cleaner'!#REF!,"AAAAAF/Ne80=")</f>
        <v>#REF!</v>
      </c>
      <c r="GY46" t="e">
        <f>AND('Dry Cleaner'!#REF!,"AAAAAF/Ne84=")</f>
        <v>#REF!</v>
      </c>
      <c r="GZ46" t="e">
        <f>AND('Dry Cleaner'!#REF!,"AAAAAF/Ne88=")</f>
        <v>#REF!</v>
      </c>
      <c r="HA46" t="e">
        <f>AND('Dry Cleaner'!#REF!,"AAAAAF/Ne9A=")</f>
        <v>#REF!</v>
      </c>
      <c r="HB46" t="e">
        <f>IF('Dry Cleaner'!#REF!,"AAAAAF/Ne9E=",0)</f>
        <v>#REF!</v>
      </c>
      <c r="HC46" t="e">
        <f>AND('Dry Cleaner'!#REF!,"AAAAAF/Ne9I=")</f>
        <v>#REF!</v>
      </c>
      <c r="HD46" t="e">
        <f>AND('Dry Cleaner'!#REF!,"AAAAAF/Ne9M=")</f>
        <v>#REF!</v>
      </c>
      <c r="HE46" t="e">
        <f>AND('Dry Cleaner'!#REF!,"AAAAAF/Ne9Q=")</f>
        <v>#REF!</v>
      </c>
      <c r="HF46" t="e">
        <f>AND('Dry Cleaner'!#REF!,"AAAAAF/Ne9U=")</f>
        <v>#REF!</v>
      </c>
      <c r="HG46" t="e">
        <f>AND('Dry Cleaner'!#REF!,"AAAAAF/Ne9Y=")</f>
        <v>#REF!</v>
      </c>
      <c r="HH46" t="e">
        <f>AND('Dry Cleaner'!#REF!,"AAAAAF/Ne9c=")</f>
        <v>#REF!</v>
      </c>
      <c r="HI46" t="e">
        <f>AND('Dry Cleaner'!#REF!,"AAAAAF/Ne9g=")</f>
        <v>#REF!</v>
      </c>
      <c r="HJ46" t="e">
        <f>AND('Dry Cleaner'!#REF!,"AAAAAF/Ne9k=")</f>
        <v>#REF!</v>
      </c>
      <c r="HK46" t="e">
        <f>AND('Dry Cleaner'!#REF!,"AAAAAF/Ne9o=")</f>
        <v>#REF!</v>
      </c>
      <c r="HL46" t="e">
        <f>AND('Dry Cleaner'!#REF!,"AAAAAF/Ne9s=")</f>
        <v>#REF!</v>
      </c>
      <c r="HM46" t="e">
        <f>AND('Dry Cleaner'!#REF!,"AAAAAF/Ne9w=")</f>
        <v>#REF!</v>
      </c>
      <c r="HN46" t="e">
        <f>AND('Dry Cleaner'!#REF!,"AAAAAF/Ne90=")</f>
        <v>#REF!</v>
      </c>
      <c r="HO46" t="e">
        <f>AND('Dry Cleaner'!#REF!,"AAAAAF/Ne94=")</f>
        <v>#REF!</v>
      </c>
      <c r="HP46" t="e">
        <f>AND('Dry Cleaner'!#REF!,"AAAAAF/Ne98=")</f>
        <v>#REF!</v>
      </c>
      <c r="HQ46" t="e">
        <f>AND('Dry Cleaner'!#REF!,"AAAAAF/Ne+A=")</f>
        <v>#REF!</v>
      </c>
      <c r="HR46" t="e">
        <f>AND('Dry Cleaner'!#REF!,"AAAAAF/Ne+E=")</f>
        <v>#REF!</v>
      </c>
      <c r="HS46" t="e">
        <f>AND('Dry Cleaner'!#REF!,"AAAAAF/Ne+I=")</f>
        <v>#REF!</v>
      </c>
      <c r="HT46" t="e">
        <f>AND('Dry Cleaner'!#REF!,"AAAAAF/Ne+M=")</f>
        <v>#REF!</v>
      </c>
      <c r="HU46" t="e">
        <f>AND('Dry Cleaner'!#REF!,"AAAAAF/Ne+Q=")</f>
        <v>#REF!</v>
      </c>
      <c r="HV46" t="e">
        <f>AND('Dry Cleaner'!#REF!,"AAAAAF/Ne+U=")</f>
        <v>#REF!</v>
      </c>
      <c r="HW46" t="e">
        <f>AND('Dry Cleaner'!#REF!,"AAAAAF/Ne+Y=")</f>
        <v>#REF!</v>
      </c>
      <c r="HX46" t="e">
        <f>AND('Dry Cleaner'!#REF!,"AAAAAF/Ne+c=")</f>
        <v>#REF!</v>
      </c>
      <c r="HY46" t="e">
        <f>AND('Dry Cleaner'!#REF!,"AAAAAF/Ne+g=")</f>
        <v>#REF!</v>
      </c>
      <c r="HZ46" t="e">
        <f>AND('Dry Cleaner'!#REF!,"AAAAAF/Ne+k=")</f>
        <v>#REF!</v>
      </c>
      <c r="IA46" t="e">
        <f>AND('Dry Cleaner'!#REF!,"AAAAAF/Ne+o=")</f>
        <v>#REF!</v>
      </c>
      <c r="IB46" t="e">
        <f>IF('Dry Cleaner'!#REF!,"AAAAAF/Ne+s=",0)</f>
        <v>#REF!</v>
      </c>
      <c r="IC46" t="e">
        <f>AND('Dry Cleaner'!#REF!,"AAAAAF/Ne+w=")</f>
        <v>#REF!</v>
      </c>
      <c r="ID46" t="e">
        <f>AND('Dry Cleaner'!#REF!,"AAAAAF/Ne+0=")</f>
        <v>#REF!</v>
      </c>
      <c r="IE46" t="e">
        <f>AND('Dry Cleaner'!#REF!,"AAAAAF/Ne+4=")</f>
        <v>#REF!</v>
      </c>
      <c r="IF46" t="e">
        <f>AND('Dry Cleaner'!#REF!,"AAAAAF/Ne+8=")</f>
        <v>#REF!</v>
      </c>
      <c r="IG46" t="e">
        <f>AND('Dry Cleaner'!#REF!,"AAAAAF/Ne/A=")</f>
        <v>#REF!</v>
      </c>
      <c r="IH46" t="e">
        <f>AND('Dry Cleaner'!#REF!,"AAAAAF/Ne/E=")</f>
        <v>#REF!</v>
      </c>
      <c r="II46" t="e">
        <f>AND('Dry Cleaner'!#REF!,"AAAAAF/Ne/I=")</f>
        <v>#REF!</v>
      </c>
      <c r="IJ46" t="e">
        <f>AND('Dry Cleaner'!#REF!,"AAAAAF/Ne/M=")</f>
        <v>#REF!</v>
      </c>
      <c r="IK46" t="e">
        <f>AND('Dry Cleaner'!#REF!,"AAAAAF/Ne/Q=")</f>
        <v>#REF!</v>
      </c>
      <c r="IL46" t="e">
        <f>AND('Dry Cleaner'!#REF!,"AAAAAF/Ne/U=")</f>
        <v>#REF!</v>
      </c>
      <c r="IM46" t="e">
        <f>AND('Dry Cleaner'!#REF!,"AAAAAF/Ne/Y=")</f>
        <v>#REF!</v>
      </c>
      <c r="IN46" t="e">
        <f>AND('Dry Cleaner'!#REF!,"AAAAAF/Ne/c=")</f>
        <v>#REF!</v>
      </c>
      <c r="IO46" t="e">
        <f>AND('Dry Cleaner'!#REF!,"AAAAAF/Ne/g=")</f>
        <v>#REF!</v>
      </c>
      <c r="IP46" t="e">
        <f>AND('Dry Cleaner'!#REF!,"AAAAAF/Ne/k=")</f>
        <v>#REF!</v>
      </c>
      <c r="IQ46" t="e">
        <f>AND('Dry Cleaner'!#REF!,"AAAAAF/Ne/o=")</f>
        <v>#REF!</v>
      </c>
      <c r="IR46" t="e">
        <f>AND('Dry Cleaner'!#REF!,"AAAAAF/Ne/s=")</f>
        <v>#REF!</v>
      </c>
      <c r="IS46" t="e">
        <f>AND('Dry Cleaner'!#REF!,"AAAAAF/Ne/w=")</f>
        <v>#REF!</v>
      </c>
      <c r="IT46" t="e">
        <f>AND('Dry Cleaner'!#REF!,"AAAAAF/Ne/0=")</f>
        <v>#REF!</v>
      </c>
      <c r="IU46" t="e">
        <f>AND('Dry Cleaner'!#REF!,"AAAAAF/Ne/4=")</f>
        <v>#REF!</v>
      </c>
      <c r="IV46" t="e">
        <f>AND('Dry Cleaner'!#REF!,"AAAAAF/Ne/8=")</f>
        <v>#REF!</v>
      </c>
    </row>
    <row r="47" spans="1:256">
      <c r="A47" t="e">
        <f>AND('Dry Cleaner'!#REF!,"AAAAADV/vwA=")</f>
        <v>#REF!</v>
      </c>
      <c r="B47" t="e">
        <f>AND('Dry Cleaner'!#REF!,"AAAAADV/vwE=")</f>
        <v>#REF!</v>
      </c>
      <c r="C47" t="e">
        <f>AND('Dry Cleaner'!#REF!,"AAAAADV/vwI=")</f>
        <v>#REF!</v>
      </c>
      <c r="D47" t="e">
        <f>AND('Dry Cleaner'!#REF!,"AAAAADV/vwM=")</f>
        <v>#REF!</v>
      </c>
      <c r="E47" t="e">
        <f>AND('Dry Cleaner'!#REF!,"AAAAADV/vwQ=")</f>
        <v>#REF!</v>
      </c>
      <c r="F47" t="e">
        <f>IF('Dry Cleaner'!#REF!,"AAAAADV/vwU=",0)</f>
        <v>#REF!</v>
      </c>
      <c r="G47" t="e">
        <f>AND('Dry Cleaner'!#REF!,"AAAAADV/vwY=")</f>
        <v>#REF!</v>
      </c>
      <c r="H47" t="e">
        <f>AND('Dry Cleaner'!#REF!,"AAAAADV/vwc=")</f>
        <v>#REF!</v>
      </c>
      <c r="I47" t="e">
        <f>AND('Dry Cleaner'!#REF!,"AAAAADV/vwg=")</f>
        <v>#REF!</v>
      </c>
      <c r="J47" t="e">
        <f>AND('Dry Cleaner'!#REF!,"AAAAADV/vwk=")</f>
        <v>#REF!</v>
      </c>
      <c r="K47" t="e">
        <f>AND('Dry Cleaner'!#REF!,"AAAAADV/vwo=")</f>
        <v>#REF!</v>
      </c>
      <c r="L47" t="e">
        <f>AND('Dry Cleaner'!#REF!,"AAAAADV/vws=")</f>
        <v>#REF!</v>
      </c>
      <c r="M47" t="e">
        <f>AND('Dry Cleaner'!#REF!,"AAAAADV/vww=")</f>
        <v>#REF!</v>
      </c>
      <c r="N47" t="e">
        <f>AND('Dry Cleaner'!#REF!,"AAAAADV/vw0=")</f>
        <v>#REF!</v>
      </c>
      <c r="O47" t="e">
        <f>AND('Dry Cleaner'!#REF!,"AAAAADV/vw4=")</f>
        <v>#REF!</v>
      </c>
      <c r="P47" t="e">
        <f>AND('Dry Cleaner'!#REF!,"AAAAADV/vw8=")</f>
        <v>#REF!</v>
      </c>
      <c r="Q47" t="e">
        <f>AND('Dry Cleaner'!#REF!,"AAAAADV/vxA=")</f>
        <v>#REF!</v>
      </c>
      <c r="R47" t="e">
        <f>AND('Dry Cleaner'!#REF!,"AAAAADV/vxE=")</f>
        <v>#REF!</v>
      </c>
      <c r="S47" t="e">
        <f>AND('Dry Cleaner'!#REF!,"AAAAADV/vxI=")</f>
        <v>#REF!</v>
      </c>
      <c r="T47" t="e">
        <f>AND('Dry Cleaner'!#REF!,"AAAAADV/vxM=")</f>
        <v>#REF!</v>
      </c>
      <c r="U47" t="e">
        <f>AND('Dry Cleaner'!#REF!,"AAAAADV/vxQ=")</f>
        <v>#REF!</v>
      </c>
      <c r="V47" t="e">
        <f>AND('Dry Cleaner'!#REF!,"AAAAADV/vxU=")</f>
        <v>#REF!</v>
      </c>
      <c r="W47" t="e">
        <f>AND('Dry Cleaner'!#REF!,"AAAAADV/vxY=")</f>
        <v>#REF!</v>
      </c>
      <c r="X47" t="e">
        <f>AND('Dry Cleaner'!#REF!,"AAAAADV/vxc=")</f>
        <v>#REF!</v>
      </c>
      <c r="Y47" t="e">
        <f>AND('Dry Cleaner'!#REF!,"AAAAADV/vxg=")</f>
        <v>#REF!</v>
      </c>
      <c r="Z47" t="e">
        <f>AND('Dry Cleaner'!#REF!,"AAAAADV/vxk=")</f>
        <v>#REF!</v>
      </c>
      <c r="AA47" t="e">
        <f>AND('Dry Cleaner'!#REF!,"AAAAADV/vxo=")</f>
        <v>#REF!</v>
      </c>
      <c r="AB47" t="e">
        <f>AND('Dry Cleaner'!#REF!,"AAAAADV/vxs=")</f>
        <v>#REF!</v>
      </c>
      <c r="AC47" t="e">
        <f>AND('Dry Cleaner'!#REF!,"AAAAADV/vxw=")</f>
        <v>#REF!</v>
      </c>
      <c r="AD47" t="e">
        <f>AND('Dry Cleaner'!#REF!,"AAAAADV/vx0=")</f>
        <v>#REF!</v>
      </c>
      <c r="AE47" t="e">
        <f>AND('Dry Cleaner'!#REF!,"AAAAADV/vx4=")</f>
        <v>#REF!</v>
      </c>
      <c r="AF47" t="e">
        <f>IF('Dry Cleaner'!#REF!,"AAAAADV/vx8=",0)</f>
        <v>#REF!</v>
      </c>
      <c r="AG47" t="e">
        <f>AND('Dry Cleaner'!#REF!,"AAAAADV/vyA=")</f>
        <v>#REF!</v>
      </c>
      <c r="AH47" t="e">
        <f>AND('Dry Cleaner'!#REF!,"AAAAADV/vyE=")</f>
        <v>#REF!</v>
      </c>
      <c r="AI47" t="e">
        <f>AND('Dry Cleaner'!#REF!,"AAAAADV/vyI=")</f>
        <v>#REF!</v>
      </c>
      <c r="AJ47" t="e">
        <f>AND('Dry Cleaner'!#REF!,"AAAAADV/vyM=")</f>
        <v>#REF!</v>
      </c>
      <c r="AK47" t="e">
        <f>AND('Dry Cleaner'!#REF!,"AAAAADV/vyQ=")</f>
        <v>#REF!</v>
      </c>
      <c r="AL47" t="e">
        <f>AND('Dry Cleaner'!#REF!,"AAAAADV/vyU=")</f>
        <v>#REF!</v>
      </c>
      <c r="AM47" t="e">
        <f>AND('Dry Cleaner'!#REF!,"AAAAADV/vyY=")</f>
        <v>#REF!</v>
      </c>
      <c r="AN47" t="e">
        <f>AND('Dry Cleaner'!#REF!,"AAAAADV/vyc=")</f>
        <v>#REF!</v>
      </c>
      <c r="AO47" t="e">
        <f>AND('Dry Cleaner'!#REF!,"AAAAADV/vyg=")</f>
        <v>#REF!</v>
      </c>
      <c r="AP47" t="e">
        <f>AND('Dry Cleaner'!#REF!,"AAAAADV/vyk=")</f>
        <v>#REF!</v>
      </c>
      <c r="AQ47" t="e">
        <f>AND('Dry Cleaner'!#REF!,"AAAAADV/vyo=")</f>
        <v>#REF!</v>
      </c>
      <c r="AR47" t="e">
        <f>AND('Dry Cleaner'!#REF!,"AAAAADV/vys=")</f>
        <v>#REF!</v>
      </c>
      <c r="AS47" t="e">
        <f>AND('Dry Cleaner'!#REF!,"AAAAADV/vyw=")</f>
        <v>#REF!</v>
      </c>
      <c r="AT47" t="e">
        <f>AND('Dry Cleaner'!#REF!,"AAAAADV/vy0=")</f>
        <v>#REF!</v>
      </c>
      <c r="AU47" t="e">
        <f>AND('Dry Cleaner'!#REF!,"AAAAADV/vy4=")</f>
        <v>#REF!</v>
      </c>
      <c r="AV47" t="e">
        <f>AND('Dry Cleaner'!#REF!,"AAAAADV/vy8=")</f>
        <v>#REF!</v>
      </c>
      <c r="AW47" t="e">
        <f>AND('Dry Cleaner'!#REF!,"AAAAADV/vzA=")</f>
        <v>#REF!</v>
      </c>
      <c r="AX47" t="e">
        <f>AND('Dry Cleaner'!#REF!,"AAAAADV/vzE=")</f>
        <v>#REF!</v>
      </c>
      <c r="AY47" t="e">
        <f>AND('Dry Cleaner'!#REF!,"AAAAADV/vzI=")</f>
        <v>#REF!</v>
      </c>
      <c r="AZ47" t="e">
        <f>AND('Dry Cleaner'!#REF!,"AAAAADV/vzM=")</f>
        <v>#REF!</v>
      </c>
      <c r="BA47" t="e">
        <f>AND('Dry Cleaner'!#REF!,"AAAAADV/vzQ=")</f>
        <v>#REF!</v>
      </c>
      <c r="BB47" t="e">
        <f>AND('Dry Cleaner'!#REF!,"AAAAADV/vzU=")</f>
        <v>#REF!</v>
      </c>
      <c r="BC47" t="e">
        <f>AND('Dry Cleaner'!#REF!,"AAAAADV/vzY=")</f>
        <v>#REF!</v>
      </c>
      <c r="BD47" t="e">
        <f>AND('Dry Cleaner'!#REF!,"AAAAADV/vzc=")</f>
        <v>#REF!</v>
      </c>
      <c r="BE47" t="e">
        <f>AND('Dry Cleaner'!#REF!,"AAAAADV/vzg=")</f>
        <v>#REF!</v>
      </c>
      <c r="BF47" t="e">
        <f>IF('Dry Cleaner'!#REF!,"AAAAADV/vzk=",0)</f>
        <v>#REF!</v>
      </c>
      <c r="BG47" t="e">
        <f>AND('Dry Cleaner'!#REF!,"AAAAADV/vzo=")</f>
        <v>#REF!</v>
      </c>
      <c r="BH47" t="e">
        <f>AND('Dry Cleaner'!#REF!,"AAAAADV/vzs=")</f>
        <v>#REF!</v>
      </c>
      <c r="BI47" t="e">
        <f>AND('Dry Cleaner'!#REF!,"AAAAADV/vzw=")</f>
        <v>#REF!</v>
      </c>
      <c r="BJ47" t="e">
        <f>AND('Dry Cleaner'!#REF!,"AAAAADV/vz0=")</f>
        <v>#REF!</v>
      </c>
      <c r="BK47" t="e">
        <f>AND('Dry Cleaner'!#REF!,"AAAAADV/vz4=")</f>
        <v>#REF!</v>
      </c>
      <c r="BL47" t="e">
        <f>AND('Dry Cleaner'!#REF!,"AAAAADV/vz8=")</f>
        <v>#REF!</v>
      </c>
      <c r="BM47" t="e">
        <f>AND('Dry Cleaner'!#REF!,"AAAAADV/v0A=")</f>
        <v>#REF!</v>
      </c>
      <c r="BN47" t="e">
        <f>AND('Dry Cleaner'!#REF!,"AAAAADV/v0E=")</f>
        <v>#REF!</v>
      </c>
      <c r="BO47" t="e">
        <f>AND('Dry Cleaner'!#REF!,"AAAAADV/v0I=")</f>
        <v>#REF!</v>
      </c>
      <c r="BP47" t="e">
        <f>AND('Dry Cleaner'!#REF!,"AAAAADV/v0M=")</f>
        <v>#REF!</v>
      </c>
      <c r="BQ47" t="e">
        <f>AND('Dry Cleaner'!#REF!,"AAAAADV/v0Q=")</f>
        <v>#REF!</v>
      </c>
      <c r="BR47" t="e">
        <f>AND('Dry Cleaner'!#REF!,"AAAAADV/v0U=")</f>
        <v>#REF!</v>
      </c>
      <c r="BS47" t="e">
        <f>AND('Dry Cleaner'!#REF!,"AAAAADV/v0Y=")</f>
        <v>#REF!</v>
      </c>
      <c r="BT47" t="e">
        <f>AND('Dry Cleaner'!#REF!,"AAAAADV/v0c=")</f>
        <v>#REF!</v>
      </c>
      <c r="BU47" t="e">
        <f>AND('Dry Cleaner'!#REF!,"AAAAADV/v0g=")</f>
        <v>#REF!</v>
      </c>
      <c r="BV47" t="e">
        <f>AND('Dry Cleaner'!#REF!,"AAAAADV/v0k=")</f>
        <v>#REF!</v>
      </c>
      <c r="BW47" t="e">
        <f>AND('Dry Cleaner'!#REF!,"AAAAADV/v0o=")</f>
        <v>#REF!</v>
      </c>
      <c r="BX47" t="e">
        <f>AND('Dry Cleaner'!#REF!,"AAAAADV/v0s=")</f>
        <v>#REF!</v>
      </c>
      <c r="BY47" t="e">
        <f>AND('Dry Cleaner'!#REF!,"AAAAADV/v0w=")</f>
        <v>#REF!</v>
      </c>
      <c r="BZ47" t="e">
        <f>AND('Dry Cleaner'!#REF!,"AAAAADV/v00=")</f>
        <v>#REF!</v>
      </c>
      <c r="CA47" t="e">
        <f>AND('Dry Cleaner'!#REF!,"AAAAADV/v04=")</f>
        <v>#REF!</v>
      </c>
      <c r="CB47" t="e">
        <f>AND('Dry Cleaner'!#REF!,"AAAAADV/v08=")</f>
        <v>#REF!</v>
      </c>
      <c r="CC47" t="e">
        <f>AND('Dry Cleaner'!#REF!,"AAAAADV/v1A=")</f>
        <v>#REF!</v>
      </c>
      <c r="CD47" t="e">
        <f>AND('Dry Cleaner'!#REF!,"AAAAADV/v1E=")</f>
        <v>#REF!</v>
      </c>
      <c r="CE47" t="e">
        <f>AND('Dry Cleaner'!#REF!,"AAAAADV/v1I=")</f>
        <v>#REF!</v>
      </c>
      <c r="CF47" t="e">
        <f>IF('Dry Cleaner'!#REF!,"AAAAADV/v1M=",0)</f>
        <v>#REF!</v>
      </c>
      <c r="CG47" t="e">
        <f>AND('Dry Cleaner'!#REF!,"AAAAADV/v1Q=")</f>
        <v>#REF!</v>
      </c>
      <c r="CH47" t="e">
        <f>AND('Dry Cleaner'!#REF!,"AAAAADV/v1U=")</f>
        <v>#REF!</v>
      </c>
      <c r="CI47" t="e">
        <f>AND('Dry Cleaner'!#REF!,"AAAAADV/v1Y=")</f>
        <v>#REF!</v>
      </c>
      <c r="CJ47" t="e">
        <f>AND('Dry Cleaner'!#REF!,"AAAAADV/v1c=")</f>
        <v>#REF!</v>
      </c>
      <c r="CK47" t="e">
        <f>AND('Dry Cleaner'!#REF!,"AAAAADV/v1g=")</f>
        <v>#REF!</v>
      </c>
      <c r="CL47" t="e">
        <f>AND('Dry Cleaner'!#REF!,"AAAAADV/v1k=")</f>
        <v>#REF!</v>
      </c>
      <c r="CM47" t="e">
        <f>AND('Dry Cleaner'!#REF!,"AAAAADV/v1o=")</f>
        <v>#REF!</v>
      </c>
      <c r="CN47" t="e">
        <f>AND('Dry Cleaner'!#REF!,"AAAAADV/v1s=")</f>
        <v>#REF!</v>
      </c>
      <c r="CO47" t="e">
        <f>AND('Dry Cleaner'!#REF!,"AAAAADV/v1w=")</f>
        <v>#REF!</v>
      </c>
      <c r="CP47" t="e">
        <f>AND('Dry Cleaner'!#REF!,"AAAAADV/v10=")</f>
        <v>#REF!</v>
      </c>
      <c r="CQ47" t="e">
        <f>AND('Dry Cleaner'!#REF!,"AAAAADV/v14=")</f>
        <v>#REF!</v>
      </c>
      <c r="CR47" t="e">
        <f>AND('Dry Cleaner'!#REF!,"AAAAADV/v18=")</f>
        <v>#REF!</v>
      </c>
      <c r="CS47" t="e">
        <f>AND('Dry Cleaner'!#REF!,"AAAAADV/v2A=")</f>
        <v>#REF!</v>
      </c>
      <c r="CT47" t="e">
        <f>AND('Dry Cleaner'!#REF!,"AAAAADV/v2E=")</f>
        <v>#REF!</v>
      </c>
      <c r="CU47" t="e">
        <f>AND('Dry Cleaner'!#REF!,"AAAAADV/v2I=")</f>
        <v>#REF!</v>
      </c>
      <c r="CV47" t="e">
        <f>AND('Dry Cleaner'!#REF!,"AAAAADV/v2M=")</f>
        <v>#REF!</v>
      </c>
      <c r="CW47" t="e">
        <f>AND('Dry Cleaner'!#REF!,"AAAAADV/v2Q=")</f>
        <v>#REF!</v>
      </c>
      <c r="CX47" t="e">
        <f>AND('Dry Cleaner'!#REF!,"AAAAADV/v2U=")</f>
        <v>#REF!</v>
      </c>
      <c r="CY47" t="e">
        <f>AND('Dry Cleaner'!#REF!,"AAAAADV/v2Y=")</f>
        <v>#REF!</v>
      </c>
      <c r="CZ47" t="e">
        <f>AND('Dry Cleaner'!#REF!,"AAAAADV/v2c=")</f>
        <v>#REF!</v>
      </c>
      <c r="DA47" t="e">
        <f>AND('Dry Cleaner'!#REF!,"AAAAADV/v2g=")</f>
        <v>#REF!</v>
      </c>
      <c r="DB47" t="e">
        <f>AND('Dry Cleaner'!#REF!,"AAAAADV/v2k=")</f>
        <v>#REF!</v>
      </c>
      <c r="DC47" t="e">
        <f>AND('Dry Cleaner'!#REF!,"AAAAADV/v2o=")</f>
        <v>#REF!</v>
      </c>
      <c r="DD47" t="e">
        <f>AND('Dry Cleaner'!#REF!,"AAAAADV/v2s=")</f>
        <v>#REF!</v>
      </c>
      <c r="DE47" t="e">
        <f>AND('Dry Cleaner'!#REF!,"AAAAADV/v2w=")</f>
        <v>#REF!</v>
      </c>
      <c r="DF47" t="e">
        <f>IF('Dry Cleaner'!#REF!,"AAAAADV/v20=",0)</f>
        <v>#REF!</v>
      </c>
      <c r="DG47" t="e">
        <f>AND('Dry Cleaner'!#REF!,"AAAAADV/v24=")</f>
        <v>#REF!</v>
      </c>
      <c r="DH47" t="e">
        <f>AND('Dry Cleaner'!#REF!,"AAAAADV/v28=")</f>
        <v>#REF!</v>
      </c>
      <c r="DI47" t="e">
        <f>AND('Dry Cleaner'!#REF!,"AAAAADV/v3A=")</f>
        <v>#REF!</v>
      </c>
      <c r="DJ47" t="e">
        <f>AND('Dry Cleaner'!#REF!,"AAAAADV/v3E=")</f>
        <v>#REF!</v>
      </c>
      <c r="DK47" t="e">
        <f>AND('Dry Cleaner'!#REF!,"AAAAADV/v3I=")</f>
        <v>#REF!</v>
      </c>
      <c r="DL47" t="e">
        <f>AND('Dry Cleaner'!#REF!,"AAAAADV/v3M=")</f>
        <v>#REF!</v>
      </c>
      <c r="DM47" t="e">
        <f>AND('Dry Cleaner'!#REF!,"AAAAADV/v3Q=")</f>
        <v>#REF!</v>
      </c>
      <c r="DN47" t="e">
        <f>AND('Dry Cleaner'!#REF!,"AAAAADV/v3U=")</f>
        <v>#REF!</v>
      </c>
      <c r="DO47" t="e">
        <f>AND('Dry Cleaner'!#REF!,"AAAAADV/v3Y=")</f>
        <v>#REF!</v>
      </c>
      <c r="DP47" t="e">
        <f>AND('Dry Cleaner'!#REF!,"AAAAADV/v3c=")</f>
        <v>#REF!</v>
      </c>
      <c r="DQ47" t="e">
        <f>AND('Dry Cleaner'!#REF!,"AAAAADV/v3g=")</f>
        <v>#REF!</v>
      </c>
      <c r="DR47" t="e">
        <f>AND('Dry Cleaner'!#REF!,"AAAAADV/v3k=")</f>
        <v>#REF!</v>
      </c>
      <c r="DS47" t="e">
        <f>AND('Dry Cleaner'!#REF!,"AAAAADV/v3o=")</f>
        <v>#REF!</v>
      </c>
      <c r="DT47" t="e">
        <f>AND('Dry Cleaner'!#REF!,"AAAAADV/v3s=")</f>
        <v>#REF!</v>
      </c>
      <c r="DU47" t="e">
        <f>AND('Dry Cleaner'!#REF!,"AAAAADV/v3w=")</f>
        <v>#REF!</v>
      </c>
      <c r="DV47" t="e">
        <f>AND('Dry Cleaner'!#REF!,"AAAAADV/v30=")</f>
        <v>#REF!</v>
      </c>
      <c r="DW47" t="e">
        <f>AND('Dry Cleaner'!#REF!,"AAAAADV/v34=")</f>
        <v>#REF!</v>
      </c>
      <c r="DX47" t="e">
        <f>AND('Dry Cleaner'!#REF!,"AAAAADV/v38=")</f>
        <v>#REF!</v>
      </c>
      <c r="DY47" t="e">
        <f>AND('Dry Cleaner'!#REF!,"AAAAADV/v4A=")</f>
        <v>#REF!</v>
      </c>
      <c r="DZ47" t="e">
        <f>AND('Dry Cleaner'!#REF!,"AAAAADV/v4E=")</f>
        <v>#REF!</v>
      </c>
      <c r="EA47" t="e">
        <f>AND('Dry Cleaner'!#REF!,"AAAAADV/v4I=")</f>
        <v>#REF!</v>
      </c>
      <c r="EB47" t="e">
        <f>AND('Dry Cleaner'!#REF!,"AAAAADV/v4M=")</f>
        <v>#REF!</v>
      </c>
      <c r="EC47" t="e">
        <f>AND('Dry Cleaner'!#REF!,"AAAAADV/v4Q=")</f>
        <v>#REF!</v>
      </c>
      <c r="ED47" t="e">
        <f>AND('Dry Cleaner'!#REF!,"AAAAADV/v4U=")</f>
        <v>#REF!</v>
      </c>
      <c r="EE47" t="e">
        <f>AND('Dry Cleaner'!#REF!,"AAAAADV/v4Y=")</f>
        <v>#REF!</v>
      </c>
      <c r="EF47" t="e">
        <f>IF('Dry Cleaner'!#REF!,"AAAAADV/v4c=",0)</f>
        <v>#REF!</v>
      </c>
      <c r="EG47" t="e">
        <f>AND('Dry Cleaner'!#REF!,"AAAAADV/v4g=")</f>
        <v>#REF!</v>
      </c>
      <c r="EH47" t="e">
        <f>AND('Dry Cleaner'!#REF!,"AAAAADV/v4k=")</f>
        <v>#REF!</v>
      </c>
      <c r="EI47" t="e">
        <f>AND('Dry Cleaner'!#REF!,"AAAAADV/v4o=")</f>
        <v>#REF!</v>
      </c>
      <c r="EJ47" t="e">
        <f>AND('Dry Cleaner'!#REF!,"AAAAADV/v4s=")</f>
        <v>#REF!</v>
      </c>
      <c r="EK47" t="e">
        <f>AND('Dry Cleaner'!#REF!,"AAAAADV/v4w=")</f>
        <v>#REF!</v>
      </c>
      <c r="EL47" t="e">
        <f>AND('Dry Cleaner'!#REF!,"AAAAADV/v40=")</f>
        <v>#REF!</v>
      </c>
      <c r="EM47" t="e">
        <f>AND('Dry Cleaner'!#REF!,"AAAAADV/v44=")</f>
        <v>#REF!</v>
      </c>
      <c r="EN47" t="e">
        <f>AND('Dry Cleaner'!#REF!,"AAAAADV/v48=")</f>
        <v>#REF!</v>
      </c>
      <c r="EO47" t="e">
        <f>AND('Dry Cleaner'!#REF!,"AAAAADV/v5A=")</f>
        <v>#REF!</v>
      </c>
      <c r="EP47" t="e">
        <f>AND('Dry Cleaner'!#REF!,"AAAAADV/v5E=")</f>
        <v>#REF!</v>
      </c>
      <c r="EQ47" t="e">
        <f>AND('Dry Cleaner'!#REF!,"AAAAADV/v5I=")</f>
        <v>#REF!</v>
      </c>
      <c r="ER47" t="e">
        <f>AND('Dry Cleaner'!#REF!,"AAAAADV/v5M=")</f>
        <v>#REF!</v>
      </c>
      <c r="ES47" t="e">
        <f>AND('Dry Cleaner'!#REF!,"AAAAADV/v5Q=")</f>
        <v>#REF!</v>
      </c>
      <c r="ET47" t="e">
        <f>AND('Dry Cleaner'!#REF!,"AAAAADV/v5U=")</f>
        <v>#REF!</v>
      </c>
      <c r="EU47" t="e">
        <f>AND('Dry Cleaner'!#REF!,"AAAAADV/v5Y=")</f>
        <v>#REF!</v>
      </c>
      <c r="EV47" t="e">
        <f>AND('Dry Cleaner'!#REF!,"AAAAADV/v5c=")</f>
        <v>#REF!</v>
      </c>
      <c r="EW47" t="e">
        <f>AND('Dry Cleaner'!#REF!,"AAAAADV/v5g=")</f>
        <v>#REF!</v>
      </c>
      <c r="EX47" t="e">
        <f>AND('Dry Cleaner'!#REF!,"AAAAADV/v5k=")</f>
        <v>#REF!</v>
      </c>
      <c r="EY47" t="e">
        <f>AND('Dry Cleaner'!#REF!,"AAAAADV/v5o=")</f>
        <v>#REF!</v>
      </c>
      <c r="EZ47" t="e">
        <f>AND('Dry Cleaner'!#REF!,"AAAAADV/v5s=")</f>
        <v>#REF!</v>
      </c>
      <c r="FA47" t="e">
        <f>AND('Dry Cleaner'!#REF!,"AAAAADV/v5w=")</f>
        <v>#REF!</v>
      </c>
      <c r="FB47" t="e">
        <f>AND('Dry Cleaner'!#REF!,"AAAAADV/v50=")</f>
        <v>#REF!</v>
      </c>
      <c r="FC47" t="e">
        <f>AND('Dry Cleaner'!#REF!,"AAAAADV/v54=")</f>
        <v>#REF!</v>
      </c>
      <c r="FD47" t="e">
        <f>AND('Dry Cleaner'!#REF!,"AAAAADV/v58=")</f>
        <v>#REF!</v>
      </c>
      <c r="FE47" t="e">
        <f>AND('Dry Cleaner'!#REF!,"AAAAADV/v6A=")</f>
        <v>#REF!</v>
      </c>
      <c r="FF47" t="e">
        <f>IF('Dry Cleaner'!#REF!,"AAAAADV/v6E=",0)</f>
        <v>#REF!</v>
      </c>
      <c r="FG47" t="e">
        <f>AND('Dry Cleaner'!#REF!,"AAAAADV/v6I=")</f>
        <v>#REF!</v>
      </c>
      <c r="FH47" t="e">
        <f>AND('Dry Cleaner'!#REF!,"AAAAADV/v6M=")</f>
        <v>#REF!</v>
      </c>
      <c r="FI47" t="e">
        <f>AND('Dry Cleaner'!#REF!,"AAAAADV/v6Q=")</f>
        <v>#REF!</v>
      </c>
      <c r="FJ47" t="e">
        <f>AND('Dry Cleaner'!#REF!,"AAAAADV/v6U=")</f>
        <v>#REF!</v>
      </c>
      <c r="FK47" t="e">
        <f>AND('Dry Cleaner'!#REF!,"AAAAADV/v6Y=")</f>
        <v>#REF!</v>
      </c>
      <c r="FL47" t="e">
        <f>AND('Dry Cleaner'!#REF!,"AAAAADV/v6c=")</f>
        <v>#REF!</v>
      </c>
      <c r="FM47" t="e">
        <f>AND('Dry Cleaner'!#REF!,"AAAAADV/v6g=")</f>
        <v>#REF!</v>
      </c>
      <c r="FN47" t="e">
        <f>AND('Dry Cleaner'!#REF!,"AAAAADV/v6k=")</f>
        <v>#REF!</v>
      </c>
      <c r="FO47" t="e">
        <f>AND('Dry Cleaner'!#REF!,"AAAAADV/v6o=")</f>
        <v>#REF!</v>
      </c>
      <c r="FP47" t="e">
        <f>AND('Dry Cleaner'!#REF!,"AAAAADV/v6s=")</f>
        <v>#REF!</v>
      </c>
      <c r="FQ47" t="e">
        <f>AND('Dry Cleaner'!#REF!,"AAAAADV/v6w=")</f>
        <v>#REF!</v>
      </c>
      <c r="FR47" t="e">
        <f>AND('Dry Cleaner'!#REF!,"AAAAADV/v60=")</f>
        <v>#REF!</v>
      </c>
      <c r="FS47" t="e">
        <f>AND('Dry Cleaner'!#REF!,"AAAAADV/v64=")</f>
        <v>#REF!</v>
      </c>
      <c r="FT47" t="e">
        <f>AND('Dry Cleaner'!#REF!,"AAAAADV/v68=")</f>
        <v>#REF!</v>
      </c>
      <c r="FU47" t="e">
        <f>AND('Dry Cleaner'!#REF!,"AAAAADV/v7A=")</f>
        <v>#REF!</v>
      </c>
      <c r="FV47" t="e">
        <f>AND('Dry Cleaner'!#REF!,"AAAAADV/v7E=")</f>
        <v>#REF!</v>
      </c>
      <c r="FW47" t="e">
        <f>AND('Dry Cleaner'!#REF!,"AAAAADV/v7I=")</f>
        <v>#REF!</v>
      </c>
      <c r="FX47" t="e">
        <f>AND('Dry Cleaner'!#REF!,"AAAAADV/v7M=")</f>
        <v>#REF!</v>
      </c>
      <c r="FY47" t="e">
        <f>AND('Dry Cleaner'!#REF!,"AAAAADV/v7Q=")</f>
        <v>#REF!</v>
      </c>
      <c r="FZ47" t="e">
        <f>AND('Dry Cleaner'!#REF!,"AAAAADV/v7U=")</f>
        <v>#REF!</v>
      </c>
      <c r="GA47" t="e">
        <f>AND('Dry Cleaner'!#REF!,"AAAAADV/v7Y=")</f>
        <v>#REF!</v>
      </c>
      <c r="GB47" t="e">
        <f>AND('Dry Cleaner'!#REF!,"AAAAADV/v7c=")</f>
        <v>#REF!</v>
      </c>
      <c r="GC47" t="e">
        <f>AND('Dry Cleaner'!#REF!,"AAAAADV/v7g=")</f>
        <v>#REF!</v>
      </c>
      <c r="GD47" t="e">
        <f>AND('Dry Cleaner'!#REF!,"AAAAADV/v7k=")</f>
        <v>#REF!</v>
      </c>
      <c r="GE47" t="e">
        <f>AND('Dry Cleaner'!#REF!,"AAAAADV/v7o=")</f>
        <v>#REF!</v>
      </c>
      <c r="GF47" t="e">
        <f>IF('Dry Cleaner'!#REF!,"AAAAADV/v7s=",0)</f>
        <v>#REF!</v>
      </c>
      <c r="GG47" t="e">
        <f>AND('Dry Cleaner'!#REF!,"AAAAADV/v7w=")</f>
        <v>#REF!</v>
      </c>
      <c r="GH47" t="e">
        <f>AND('Dry Cleaner'!#REF!,"AAAAADV/v70=")</f>
        <v>#REF!</v>
      </c>
      <c r="GI47" t="e">
        <f>AND('Dry Cleaner'!#REF!,"AAAAADV/v74=")</f>
        <v>#REF!</v>
      </c>
      <c r="GJ47" t="e">
        <f>AND('Dry Cleaner'!#REF!,"AAAAADV/v78=")</f>
        <v>#REF!</v>
      </c>
      <c r="GK47" t="e">
        <f>AND('Dry Cleaner'!#REF!,"AAAAADV/v8A=")</f>
        <v>#REF!</v>
      </c>
      <c r="GL47" t="e">
        <f>AND('Dry Cleaner'!#REF!,"AAAAADV/v8E=")</f>
        <v>#REF!</v>
      </c>
      <c r="GM47" t="e">
        <f>AND('Dry Cleaner'!#REF!,"AAAAADV/v8I=")</f>
        <v>#REF!</v>
      </c>
      <c r="GN47" t="e">
        <f>AND('Dry Cleaner'!#REF!,"AAAAADV/v8M=")</f>
        <v>#REF!</v>
      </c>
      <c r="GO47" t="e">
        <f>AND('Dry Cleaner'!#REF!,"AAAAADV/v8Q=")</f>
        <v>#REF!</v>
      </c>
      <c r="GP47" t="e">
        <f>AND('Dry Cleaner'!#REF!,"AAAAADV/v8U=")</f>
        <v>#REF!</v>
      </c>
      <c r="GQ47" t="e">
        <f>AND('Dry Cleaner'!#REF!,"AAAAADV/v8Y=")</f>
        <v>#REF!</v>
      </c>
      <c r="GR47" t="e">
        <f>AND('Dry Cleaner'!#REF!,"AAAAADV/v8c=")</f>
        <v>#REF!</v>
      </c>
      <c r="GS47" t="e">
        <f>AND('Dry Cleaner'!#REF!,"AAAAADV/v8g=")</f>
        <v>#REF!</v>
      </c>
      <c r="GT47" t="e">
        <f>AND('Dry Cleaner'!#REF!,"AAAAADV/v8k=")</f>
        <v>#REF!</v>
      </c>
      <c r="GU47" t="e">
        <f>AND('Dry Cleaner'!#REF!,"AAAAADV/v8o=")</f>
        <v>#REF!</v>
      </c>
      <c r="GV47" t="e">
        <f>AND('Dry Cleaner'!#REF!,"AAAAADV/v8s=")</f>
        <v>#REF!</v>
      </c>
      <c r="GW47" t="e">
        <f>AND('Dry Cleaner'!#REF!,"AAAAADV/v8w=")</f>
        <v>#REF!</v>
      </c>
      <c r="GX47" t="e">
        <f>AND('Dry Cleaner'!#REF!,"AAAAADV/v80=")</f>
        <v>#REF!</v>
      </c>
      <c r="GY47" t="e">
        <f>AND('Dry Cleaner'!#REF!,"AAAAADV/v84=")</f>
        <v>#REF!</v>
      </c>
      <c r="GZ47" t="e">
        <f>AND('Dry Cleaner'!#REF!,"AAAAADV/v88=")</f>
        <v>#REF!</v>
      </c>
      <c r="HA47" t="e">
        <f>AND('Dry Cleaner'!#REF!,"AAAAADV/v9A=")</f>
        <v>#REF!</v>
      </c>
      <c r="HB47" t="e">
        <f>AND('Dry Cleaner'!#REF!,"AAAAADV/v9E=")</f>
        <v>#REF!</v>
      </c>
      <c r="HC47" t="e">
        <f>AND('Dry Cleaner'!#REF!,"AAAAADV/v9I=")</f>
        <v>#REF!</v>
      </c>
      <c r="HD47" t="e">
        <f>AND('Dry Cleaner'!#REF!,"AAAAADV/v9M=")</f>
        <v>#REF!</v>
      </c>
      <c r="HE47" t="e">
        <f>AND('Dry Cleaner'!#REF!,"AAAAADV/v9Q=")</f>
        <v>#REF!</v>
      </c>
      <c r="HF47" t="e">
        <f>IF('Dry Cleaner'!#REF!,"AAAAADV/v9U=",0)</f>
        <v>#REF!</v>
      </c>
      <c r="HG47" t="e">
        <f>AND('Dry Cleaner'!#REF!,"AAAAADV/v9Y=")</f>
        <v>#REF!</v>
      </c>
      <c r="HH47" t="e">
        <f>AND('Dry Cleaner'!#REF!,"AAAAADV/v9c=")</f>
        <v>#REF!</v>
      </c>
      <c r="HI47" t="e">
        <f>AND('Dry Cleaner'!#REF!,"AAAAADV/v9g=")</f>
        <v>#REF!</v>
      </c>
      <c r="HJ47" t="e">
        <f>AND('Dry Cleaner'!#REF!,"AAAAADV/v9k=")</f>
        <v>#REF!</v>
      </c>
      <c r="HK47" t="e">
        <f>AND('Dry Cleaner'!#REF!,"AAAAADV/v9o=")</f>
        <v>#REF!</v>
      </c>
      <c r="HL47" t="e">
        <f>AND('Dry Cleaner'!#REF!,"AAAAADV/v9s=")</f>
        <v>#REF!</v>
      </c>
      <c r="HM47" t="e">
        <f>AND('Dry Cleaner'!#REF!,"AAAAADV/v9w=")</f>
        <v>#REF!</v>
      </c>
      <c r="HN47" t="e">
        <f>AND('Dry Cleaner'!#REF!,"AAAAADV/v90=")</f>
        <v>#REF!</v>
      </c>
      <c r="HO47" t="e">
        <f>AND('Dry Cleaner'!#REF!,"AAAAADV/v94=")</f>
        <v>#REF!</v>
      </c>
      <c r="HP47" t="e">
        <f>AND('Dry Cleaner'!#REF!,"AAAAADV/v98=")</f>
        <v>#REF!</v>
      </c>
      <c r="HQ47" t="e">
        <f>AND('Dry Cleaner'!#REF!,"AAAAADV/v+A=")</f>
        <v>#REF!</v>
      </c>
      <c r="HR47" t="e">
        <f>AND('Dry Cleaner'!#REF!,"AAAAADV/v+E=")</f>
        <v>#REF!</v>
      </c>
      <c r="HS47" t="e">
        <f>AND('Dry Cleaner'!#REF!,"AAAAADV/v+I=")</f>
        <v>#REF!</v>
      </c>
      <c r="HT47" t="e">
        <f>AND('Dry Cleaner'!#REF!,"AAAAADV/v+M=")</f>
        <v>#REF!</v>
      </c>
      <c r="HU47" t="e">
        <f>AND('Dry Cleaner'!#REF!,"AAAAADV/v+Q=")</f>
        <v>#REF!</v>
      </c>
      <c r="HV47" t="e">
        <f>AND('Dry Cleaner'!#REF!,"AAAAADV/v+U=")</f>
        <v>#REF!</v>
      </c>
      <c r="HW47" t="e">
        <f>AND('Dry Cleaner'!#REF!,"AAAAADV/v+Y=")</f>
        <v>#REF!</v>
      </c>
      <c r="HX47" t="e">
        <f>AND('Dry Cleaner'!#REF!,"AAAAADV/v+c=")</f>
        <v>#REF!</v>
      </c>
      <c r="HY47" t="e">
        <f>AND('Dry Cleaner'!#REF!,"AAAAADV/v+g=")</f>
        <v>#REF!</v>
      </c>
      <c r="HZ47" t="e">
        <f>AND('Dry Cleaner'!#REF!,"AAAAADV/v+k=")</f>
        <v>#REF!</v>
      </c>
      <c r="IA47" t="e">
        <f>AND('Dry Cleaner'!#REF!,"AAAAADV/v+o=")</f>
        <v>#REF!</v>
      </c>
      <c r="IB47" t="e">
        <f>AND('Dry Cleaner'!#REF!,"AAAAADV/v+s=")</f>
        <v>#REF!</v>
      </c>
      <c r="IC47" t="e">
        <f>AND('Dry Cleaner'!#REF!,"AAAAADV/v+w=")</f>
        <v>#REF!</v>
      </c>
      <c r="ID47" t="e">
        <f>AND('Dry Cleaner'!#REF!,"AAAAADV/v+0=")</f>
        <v>#REF!</v>
      </c>
      <c r="IE47" t="e">
        <f>AND('Dry Cleaner'!#REF!,"AAAAADV/v+4=")</f>
        <v>#REF!</v>
      </c>
      <c r="IF47" t="e">
        <f>IF('Dry Cleaner'!#REF!,"AAAAADV/v+8=",0)</f>
        <v>#REF!</v>
      </c>
      <c r="IG47" t="e">
        <f>AND('Dry Cleaner'!#REF!,"AAAAADV/v/A=")</f>
        <v>#REF!</v>
      </c>
      <c r="IH47" t="e">
        <f>AND('Dry Cleaner'!#REF!,"AAAAADV/v/E=")</f>
        <v>#REF!</v>
      </c>
      <c r="II47" t="e">
        <f>AND('Dry Cleaner'!#REF!,"AAAAADV/v/I=")</f>
        <v>#REF!</v>
      </c>
      <c r="IJ47" t="e">
        <f>AND('Dry Cleaner'!#REF!,"AAAAADV/v/M=")</f>
        <v>#REF!</v>
      </c>
      <c r="IK47" t="e">
        <f>AND('Dry Cleaner'!#REF!,"AAAAADV/v/Q=")</f>
        <v>#REF!</v>
      </c>
      <c r="IL47" t="e">
        <f>AND('Dry Cleaner'!#REF!,"AAAAADV/v/U=")</f>
        <v>#REF!</v>
      </c>
      <c r="IM47" t="e">
        <f>AND('Dry Cleaner'!#REF!,"AAAAADV/v/Y=")</f>
        <v>#REF!</v>
      </c>
      <c r="IN47" t="e">
        <f>AND('Dry Cleaner'!#REF!,"AAAAADV/v/c=")</f>
        <v>#REF!</v>
      </c>
      <c r="IO47" t="e">
        <f>AND('Dry Cleaner'!#REF!,"AAAAADV/v/g=")</f>
        <v>#REF!</v>
      </c>
      <c r="IP47" t="e">
        <f>AND('Dry Cleaner'!#REF!,"AAAAADV/v/k=")</f>
        <v>#REF!</v>
      </c>
      <c r="IQ47" t="e">
        <f>AND('Dry Cleaner'!#REF!,"AAAAADV/v/o=")</f>
        <v>#REF!</v>
      </c>
      <c r="IR47" t="e">
        <f>AND('Dry Cleaner'!#REF!,"AAAAADV/v/s=")</f>
        <v>#REF!</v>
      </c>
      <c r="IS47" t="e">
        <f>AND('Dry Cleaner'!#REF!,"AAAAADV/v/w=")</f>
        <v>#REF!</v>
      </c>
      <c r="IT47" t="e">
        <f>AND('Dry Cleaner'!#REF!,"AAAAADV/v/0=")</f>
        <v>#REF!</v>
      </c>
      <c r="IU47" t="e">
        <f>AND('Dry Cleaner'!#REF!,"AAAAADV/v/4=")</f>
        <v>#REF!</v>
      </c>
      <c r="IV47" t="e">
        <f>AND('Dry Cleaner'!#REF!,"AAAAADV/v/8=")</f>
        <v>#REF!</v>
      </c>
    </row>
    <row r="48" spans="1:256">
      <c r="A48" t="e">
        <f>AND('Dry Cleaner'!#REF!,"AAAAAG+/ZgA=")</f>
        <v>#REF!</v>
      </c>
      <c r="B48" t="e">
        <f>AND('Dry Cleaner'!#REF!,"AAAAAG+/ZgE=")</f>
        <v>#REF!</v>
      </c>
      <c r="C48" t="e">
        <f>AND('Dry Cleaner'!#REF!,"AAAAAG+/ZgI=")</f>
        <v>#REF!</v>
      </c>
      <c r="D48" t="e">
        <f>AND('Dry Cleaner'!#REF!,"AAAAAG+/ZgM=")</f>
        <v>#REF!</v>
      </c>
      <c r="E48" t="e">
        <f>AND('Dry Cleaner'!#REF!,"AAAAAG+/ZgQ=")</f>
        <v>#REF!</v>
      </c>
      <c r="F48" t="e">
        <f>AND('Dry Cleaner'!#REF!,"AAAAAG+/ZgU=")</f>
        <v>#REF!</v>
      </c>
      <c r="G48" t="e">
        <f>AND('Dry Cleaner'!#REF!,"AAAAAG+/ZgY=")</f>
        <v>#REF!</v>
      </c>
      <c r="H48" t="e">
        <f>AND('Dry Cleaner'!#REF!,"AAAAAG+/Zgc=")</f>
        <v>#REF!</v>
      </c>
      <c r="I48" t="e">
        <f>AND('Dry Cleaner'!#REF!,"AAAAAG+/Zgg=")</f>
        <v>#REF!</v>
      </c>
      <c r="J48" t="e">
        <f>IF('Dry Cleaner'!#REF!,"AAAAAG+/Zgk=",0)</f>
        <v>#REF!</v>
      </c>
      <c r="K48" t="e">
        <f>AND('Dry Cleaner'!#REF!,"AAAAAG+/Zgo=")</f>
        <v>#REF!</v>
      </c>
      <c r="L48" t="e">
        <f>AND('Dry Cleaner'!#REF!,"AAAAAG+/Zgs=")</f>
        <v>#REF!</v>
      </c>
      <c r="M48" t="e">
        <f>AND('Dry Cleaner'!#REF!,"AAAAAG+/Zgw=")</f>
        <v>#REF!</v>
      </c>
      <c r="N48" t="e">
        <f>AND('Dry Cleaner'!#REF!,"AAAAAG+/Zg0=")</f>
        <v>#REF!</v>
      </c>
      <c r="O48" t="e">
        <f>AND('Dry Cleaner'!#REF!,"AAAAAG+/Zg4=")</f>
        <v>#REF!</v>
      </c>
      <c r="P48" t="e">
        <f>AND('Dry Cleaner'!#REF!,"AAAAAG+/Zg8=")</f>
        <v>#REF!</v>
      </c>
      <c r="Q48" t="e">
        <f>AND('Dry Cleaner'!#REF!,"AAAAAG+/ZhA=")</f>
        <v>#REF!</v>
      </c>
      <c r="R48" t="e">
        <f>AND('Dry Cleaner'!#REF!,"AAAAAG+/ZhE=")</f>
        <v>#REF!</v>
      </c>
      <c r="S48" t="e">
        <f>AND('Dry Cleaner'!#REF!,"AAAAAG+/ZhI=")</f>
        <v>#REF!</v>
      </c>
      <c r="T48" t="e">
        <f>AND('Dry Cleaner'!#REF!,"AAAAAG+/ZhM=")</f>
        <v>#REF!</v>
      </c>
      <c r="U48" t="e">
        <f>AND('Dry Cleaner'!#REF!,"AAAAAG+/ZhQ=")</f>
        <v>#REF!</v>
      </c>
      <c r="V48" t="e">
        <f>AND('Dry Cleaner'!#REF!,"AAAAAG+/ZhU=")</f>
        <v>#REF!</v>
      </c>
      <c r="W48" t="e">
        <f>AND('Dry Cleaner'!#REF!,"AAAAAG+/ZhY=")</f>
        <v>#REF!</v>
      </c>
      <c r="X48" t="e">
        <f>AND('Dry Cleaner'!#REF!,"AAAAAG+/Zhc=")</f>
        <v>#REF!</v>
      </c>
      <c r="Y48" t="e">
        <f>AND('Dry Cleaner'!#REF!,"AAAAAG+/Zhg=")</f>
        <v>#REF!</v>
      </c>
      <c r="Z48" t="e">
        <f>AND('Dry Cleaner'!#REF!,"AAAAAG+/Zhk=")</f>
        <v>#REF!</v>
      </c>
      <c r="AA48" t="e">
        <f>AND('Dry Cleaner'!#REF!,"AAAAAG+/Zho=")</f>
        <v>#REF!</v>
      </c>
      <c r="AB48" t="e">
        <f>AND('Dry Cleaner'!#REF!,"AAAAAG+/Zhs=")</f>
        <v>#REF!</v>
      </c>
      <c r="AC48" t="e">
        <f>AND('Dry Cleaner'!#REF!,"AAAAAG+/Zhw=")</f>
        <v>#REF!</v>
      </c>
      <c r="AD48" t="e">
        <f>AND('Dry Cleaner'!#REF!,"AAAAAG+/Zh0=")</f>
        <v>#REF!</v>
      </c>
      <c r="AE48" t="e">
        <f>AND('Dry Cleaner'!#REF!,"AAAAAG+/Zh4=")</f>
        <v>#REF!</v>
      </c>
      <c r="AF48" t="e">
        <f>AND('Dry Cleaner'!#REF!,"AAAAAG+/Zh8=")</f>
        <v>#REF!</v>
      </c>
      <c r="AG48" t="e">
        <f>AND('Dry Cleaner'!#REF!,"AAAAAG+/ZiA=")</f>
        <v>#REF!</v>
      </c>
      <c r="AH48" t="e">
        <f>AND('Dry Cleaner'!#REF!,"AAAAAG+/ZiE=")</f>
        <v>#REF!</v>
      </c>
      <c r="AI48" t="e">
        <f>AND('Dry Cleaner'!#REF!,"AAAAAG+/ZiI=")</f>
        <v>#REF!</v>
      </c>
      <c r="AJ48" t="e">
        <f>IF('Dry Cleaner'!#REF!,"AAAAAG+/ZiM=",0)</f>
        <v>#REF!</v>
      </c>
      <c r="AK48" t="e">
        <f>AND('Dry Cleaner'!#REF!,"AAAAAG+/ZiQ=")</f>
        <v>#REF!</v>
      </c>
      <c r="AL48" t="e">
        <f>AND('Dry Cleaner'!#REF!,"AAAAAG+/ZiU=")</f>
        <v>#REF!</v>
      </c>
      <c r="AM48" t="e">
        <f>AND('Dry Cleaner'!#REF!,"AAAAAG+/ZiY=")</f>
        <v>#REF!</v>
      </c>
      <c r="AN48" t="e">
        <f>AND('Dry Cleaner'!#REF!,"AAAAAG+/Zic=")</f>
        <v>#REF!</v>
      </c>
      <c r="AO48" t="e">
        <f>AND('Dry Cleaner'!#REF!,"AAAAAG+/Zig=")</f>
        <v>#REF!</v>
      </c>
      <c r="AP48" t="e">
        <f>AND('Dry Cleaner'!#REF!,"AAAAAG+/Zik=")</f>
        <v>#REF!</v>
      </c>
      <c r="AQ48" t="e">
        <f>AND('Dry Cleaner'!#REF!,"AAAAAG+/Zio=")</f>
        <v>#REF!</v>
      </c>
      <c r="AR48" t="e">
        <f>AND('Dry Cleaner'!#REF!,"AAAAAG+/Zis=")</f>
        <v>#REF!</v>
      </c>
      <c r="AS48" t="e">
        <f>AND('Dry Cleaner'!#REF!,"AAAAAG+/Ziw=")</f>
        <v>#REF!</v>
      </c>
      <c r="AT48" t="e">
        <f>AND('Dry Cleaner'!#REF!,"AAAAAG+/Zi0=")</f>
        <v>#REF!</v>
      </c>
      <c r="AU48" t="e">
        <f>AND('Dry Cleaner'!#REF!,"AAAAAG+/Zi4=")</f>
        <v>#REF!</v>
      </c>
      <c r="AV48" t="e">
        <f>AND('Dry Cleaner'!#REF!,"AAAAAG+/Zi8=")</f>
        <v>#REF!</v>
      </c>
      <c r="AW48" t="e">
        <f>AND('Dry Cleaner'!#REF!,"AAAAAG+/ZjA=")</f>
        <v>#REF!</v>
      </c>
      <c r="AX48" t="e">
        <f>AND('Dry Cleaner'!#REF!,"AAAAAG+/ZjE=")</f>
        <v>#REF!</v>
      </c>
      <c r="AY48" t="e">
        <f>AND('Dry Cleaner'!#REF!,"AAAAAG+/ZjI=")</f>
        <v>#REF!</v>
      </c>
      <c r="AZ48" t="e">
        <f>AND('Dry Cleaner'!#REF!,"AAAAAG+/ZjM=")</f>
        <v>#REF!</v>
      </c>
      <c r="BA48" t="e">
        <f>AND('Dry Cleaner'!#REF!,"AAAAAG+/ZjQ=")</f>
        <v>#REF!</v>
      </c>
      <c r="BB48" t="e">
        <f>AND('Dry Cleaner'!#REF!,"AAAAAG+/ZjU=")</f>
        <v>#REF!</v>
      </c>
      <c r="BC48" t="e">
        <f>AND('Dry Cleaner'!#REF!,"AAAAAG+/ZjY=")</f>
        <v>#REF!</v>
      </c>
      <c r="BD48" t="e">
        <f>AND('Dry Cleaner'!#REF!,"AAAAAG+/Zjc=")</f>
        <v>#REF!</v>
      </c>
      <c r="BE48" t="e">
        <f>AND('Dry Cleaner'!#REF!,"AAAAAG+/Zjg=")</f>
        <v>#REF!</v>
      </c>
      <c r="BF48" t="e">
        <f>AND('Dry Cleaner'!#REF!,"AAAAAG+/Zjk=")</f>
        <v>#REF!</v>
      </c>
      <c r="BG48" t="e">
        <f>AND('Dry Cleaner'!#REF!,"AAAAAG+/Zjo=")</f>
        <v>#REF!</v>
      </c>
      <c r="BH48" t="e">
        <f>AND('Dry Cleaner'!#REF!,"AAAAAG+/Zjs=")</f>
        <v>#REF!</v>
      </c>
      <c r="BI48" t="e">
        <f>AND('Dry Cleaner'!#REF!,"AAAAAG+/Zjw=")</f>
        <v>#REF!</v>
      </c>
      <c r="BJ48" t="e">
        <f>IF('Dry Cleaner'!#REF!,"AAAAAG+/Zj0=",0)</f>
        <v>#REF!</v>
      </c>
      <c r="BK48" t="e">
        <f>AND('Dry Cleaner'!#REF!,"AAAAAG+/Zj4=")</f>
        <v>#REF!</v>
      </c>
      <c r="BL48" t="e">
        <f>AND('Dry Cleaner'!#REF!,"AAAAAG+/Zj8=")</f>
        <v>#REF!</v>
      </c>
      <c r="BM48" t="e">
        <f>AND('Dry Cleaner'!#REF!,"AAAAAG+/ZkA=")</f>
        <v>#REF!</v>
      </c>
      <c r="BN48" t="e">
        <f>AND('Dry Cleaner'!#REF!,"AAAAAG+/ZkE=")</f>
        <v>#REF!</v>
      </c>
      <c r="BO48" t="e">
        <f>AND('Dry Cleaner'!#REF!,"AAAAAG+/ZkI=")</f>
        <v>#REF!</v>
      </c>
      <c r="BP48" t="e">
        <f>AND('Dry Cleaner'!#REF!,"AAAAAG+/ZkM=")</f>
        <v>#REF!</v>
      </c>
      <c r="BQ48" t="e">
        <f>AND('Dry Cleaner'!#REF!,"AAAAAG+/ZkQ=")</f>
        <v>#REF!</v>
      </c>
      <c r="BR48" t="e">
        <f>AND('Dry Cleaner'!#REF!,"AAAAAG+/ZkU=")</f>
        <v>#REF!</v>
      </c>
      <c r="BS48" t="e">
        <f>AND('Dry Cleaner'!#REF!,"AAAAAG+/ZkY=")</f>
        <v>#REF!</v>
      </c>
      <c r="BT48" t="e">
        <f>AND('Dry Cleaner'!#REF!,"AAAAAG+/Zkc=")</f>
        <v>#REF!</v>
      </c>
      <c r="BU48" t="e">
        <f>AND('Dry Cleaner'!#REF!,"AAAAAG+/Zkg=")</f>
        <v>#REF!</v>
      </c>
      <c r="BV48" t="e">
        <f>AND('Dry Cleaner'!#REF!,"AAAAAG+/Zkk=")</f>
        <v>#REF!</v>
      </c>
      <c r="BW48" t="e">
        <f>AND('Dry Cleaner'!#REF!,"AAAAAG+/Zko=")</f>
        <v>#REF!</v>
      </c>
      <c r="BX48" t="e">
        <f>AND('Dry Cleaner'!#REF!,"AAAAAG+/Zks=")</f>
        <v>#REF!</v>
      </c>
      <c r="BY48" t="e">
        <f>AND('Dry Cleaner'!#REF!,"AAAAAG+/Zkw=")</f>
        <v>#REF!</v>
      </c>
      <c r="BZ48" t="e">
        <f>AND('Dry Cleaner'!#REF!,"AAAAAG+/Zk0=")</f>
        <v>#REF!</v>
      </c>
      <c r="CA48" t="e">
        <f>AND('Dry Cleaner'!#REF!,"AAAAAG+/Zk4=")</f>
        <v>#REF!</v>
      </c>
      <c r="CB48" t="e">
        <f>AND('Dry Cleaner'!#REF!,"AAAAAG+/Zk8=")</f>
        <v>#REF!</v>
      </c>
      <c r="CC48" t="e">
        <f>AND('Dry Cleaner'!#REF!,"AAAAAG+/ZlA=")</f>
        <v>#REF!</v>
      </c>
      <c r="CD48" t="e">
        <f>AND('Dry Cleaner'!#REF!,"AAAAAG+/ZlE=")</f>
        <v>#REF!</v>
      </c>
      <c r="CE48" t="e">
        <f>AND('Dry Cleaner'!#REF!,"AAAAAG+/ZlI=")</f>
        <v>#REF!</v>
      </c>
      <c r="CF48" t="e">
        <f>AND('Dry Cleaner'!#REF!,"AAAAAG+/ZlM=")</f>
        <v>#REF!</v>
      </c>
      <c r="CG48" t="e">
        <f>AND('Dry Cleaner'!#REF!,"AAAAAG+/ZlQ=")</f>
        <v>#REF!</v>
      </c>
      <c r="CH48" t="e">
        <f>AND('Dry Cleaner'!#REF!,"AAAAAG+/ZlU=")</f>
        <v>#REF!</v>
      </c>
      <c r="CI48" t="e">
        <f>AND('Dry Cleaner'!#REF!,"AAAAAG+/ZlY=")</f>
        <v>#REF!</v>
      </c>
      <c r="CJ48" t="e">
        <f>IF('Dry Cleaner'!#REF!,"AAAAAG+/Zlc=",0)</f>
        <v>#REF!</v>
      </c>
      <c r="CK48" t="e">
        <f>AND('Dry Cleaner'!#REF!,"AAAAAG+/Zlg=")</f>
        <v>#REF!</v>
      </c>
      <c r="CL48" t="e">
        <f>AND('Dry Cleaner'!#REF!,"AAAAAG+/Zlk=")</f>
        <v>#REF!</v>
      </c>
      <c r="CM48" t="e">
        <f>AND('Dry Cleaner'!#REF!,"AAAAAG+/Zlo=")</f>
        <v>#REF!</v>
      </c>
      <c r="CN48" t="e">
        <f>AND('Dry Cleaner'!#REF!,"AAAAAG+/Zls=")</f>
        <v>#REF!</v>
      </c>
      <c r="CO48" t="e">
        <f>AND('Dry Cleaner'!#REF!,"AAAAAG+/Zlw=")</f>
        <v>#REF!</v>
      </c>
      <c r="CP48" t="e">
        <f>AND('Dry Cleaner'!#REF!,"AAAAAG+/Zl0=")</f>
        <v>#REF!</v>
      </c>
      <c r="CQ48" t="e">
        <f>AND('Dry Cleaner'!#REF!,"AAAAAG+/Zl4=")</f>
        <v>#REF!</v>
      </c>
      <c r="CR48" t="e">
        <f>AND('Dry Cleaner'!#REF!,"AAAAAG+/Zl8=")</f>
        <v>#REF!</v>
      </c>
      <c r="CS48" t="e">
        <f>AND('Dry Cleaner'!#REF!,"AAAAAG+/ZmA=")</f>
        <v>#REF!</v>
      </c>
      <c r="CT48" t="e">
        <f>AND('Dry Cleaner'!#REF!,"AAAAAG+/ZmE=")</f>
        <v>#REF!</v>
      </c>
      <c r="CU48" t="e">
        <f>AND('Dry Cleaner'!#REF!,"AAAAAG+/ZmI=")</f>
        <v>#REF!</v>
      </c>
      <c r="CV48" t="e">
        <f>AND('Dry Cleaner'!#REF!,"AAAAAG+/ZmM=")</f>
        <v>#REF!</v>
      </c>
      <c r="CW48" t="e">
        <f>AND('Dry Cleaner'!#REF!,"AAAAAG+/ZmQ=")</f>
        <v>#REF!</v>
      </c>
      <c r="CX48" t="e">
        <f>AND('Dry Cleaner'!#REF!,"AAAAAG+/ZmU=")</f>
        <v>#REF!</v>
      </c>
      <c r="CY48" t="e">
        <f>AND('Dry Cleaner'!#REF!,"AAAAAG+/ZmY=")</f>
        <v>#REF!</v>
      </c>
      <c r="CZ48" t="e">
        <f>AND('Dry Cleaner'!#REF!,"AAAAAG+/Zmc=")</f>
        <v>#REF!</v>
      </c>
      <c r="DA48" t="e">
        <f>AND('Dry Cleaner'!#REF!,"AAAAAG+/Zmg=")</f>
        <v>#REF!</v>
      </c>
      <c r="DB48" t="e">
        <f>AND('Dry Cleaner'!#REF!,"AAAAAG+/Zmk=")</f>
        <v>#REF!</v>
      </c>
      <c r="DC48" t="e">
        <f>AND('Dry Cleaner'!#REF!,"AAAAAG+/Zmo=")</f>
        <v>#REF!</v>
      </c>
      <c r="DD48" t="e">
        <f>AND('Dry Cleaner'!#REF!,"AAAAAG+/Zms=")</f>
        <v>#REF!</v>
      </c>
      <c r="DE48" t="e">
        <f>AND('Dry Cleaner'!#REF!,"AAAAAG+/Zmw=")</f>
        <v>#REF!</v>
      </c>
      <c r="DF48" t="e">
        <f>AND('Dry Cleaner'!#REF!,"AAAAAG+/Zm0=")</f>
        <v>#REF!</v>
      </c>
      <c r="DG48" t="e">
        <f>AND('Dry Cleaner'!#REF!,"AAAAAG+/Zm4=")</f>
        <v>#REF!</v>
      </c>
      <c r="DH48" t="e">
        <f>AND('Dry Cleaner'!#REF!,"AAAAAG+/Zm8=")</f>
        <v>#REF!</v>
      </c>
      <c r="DI48" t="e">
        <f>AND('Dry Cleaner'!#REF!,"AAAAAG+/ZnA=")</f>
        <v>#REF!</v>
      </c>
      <c r="DJ48" t="e">
        <f>IF('Dry Cleaner'!#REF!,"AAAAAG+/ZnE=",0)</f>
        <v>#REF!</v>
      </c>
      <c r="DK48" t="e">
        <f>AND('Dry Cleaner'!#REF!,"AAAAAG+/ZnI=")</f>
        <v>#REF!</v>
      </c>
      <c r="DL48" t="e">
        <f>AND('Dry Cleaner'!#REF!,"AAAAAG+/ZnM=")</f>
        <v>#REF!</v>
      </c>
      <c r="DM48" t="e">
        <f>AND('Dry Cleaner'!#REF!,"AAAAAG+/ZnQ=")</f>
        <v>#REF!</v>
      </c>
      <c r="DN48" t="e">
        <f>AND('Dry Cleaner'!#REF!,"AAAAAG+/ZnU=")</f>
        <v>#REF!</v>
      </c>
      <c r="DO48" t="e">
        <f>AND('Dry Cleaner'!#REF!,"AAAAAG+/ZnY=")</f>
        <v>#REF!</v>
      </c>
      <c r="DP48" t="e">
        <f>AND('Dry Cleaner'!#REF!,"AAAAAG+/Znc=")</f>
        <v>#REF!</v>
      </c>
      <c r="DQ48" t="e">
        <f>AND('Dry Cleaner'!#REF!,"AAAAAG+/Zng=")</f>
        <v>#REF!</v>
      </c>
      <c r="DR48" t="e">
        <f>AND('Dry Cleaner'!#REF!,"AAAAAG+/Znk=")</f>
        <v>#REF!</v>
      </c>
      <c r="DS48" t="e">
        <f>AND('Dry Cleaner'!#REF!,"AAAAAG+/Zno=")</f>
        <v>#REF!</v>
      </c>
      <c r="DT48" t="e">
        <f>AND('Dry Cleaner'!#REF!,"AAAAAG+/Zns=")</f>
        <v>#REF!</v>
      </c>
      <c r="DU48" t="e">
        <f>AND('Dry Cleaner'!#REF!,"AAAAAG+/Znw=")</f>
        <v>#REF!</v>
      </c>
      <c r="DV48" t="e">
        <f>AND('Dry Cleaner'!#REF!,"AAAAAG+/Zn0=")</f>
        <v>#REF!</v>
      </c>
      <c r="DW48" t="e">
        <f>AND('Dry Cleaner'!#REF!,"AAAAAG+/Zn4=")</f>
        <v>#REF!</v>
      </c>
      <c r="DX48" t="e">
        <f>AND('Dry Cleaner'!#REF!,"AAAAAG+/Zn8=")</f>
        <v>#REF!</v>
      </c>
      <c r="DY48" t="e">
        <f>AND('Dry Cleaner'!#REF!,"AAAAAG+/ZoA=")</f>
        <v>#REF!</v>
      </c>
      <c r="DZ48" t="e">
        <f>AND('Dry Cleaner'!#REF!,"AAAAAG+/ZoE=")</f>
        <v>#REF!</v>
      </c>
      <c r="EA48" t="e">
        <f>AND('Dry Cleaner'!#REF!,"AAAAAG+/ZoI=")</f>
        <v>#REF!</v>
      </c>
      <c r="EB48" t="e">
        <f>AND('Dry Cleaner'!#REF!,"AAAAAG+/ZoM=")</f>
        <v>#REF!</v>
      </c>
      <c r="EC48" t="e">
        <f>AND('Dry Cleaner'!#REF!,"AAAAAG+/ZoQ=")</f>
        <v>#REF!</v>
      </c>
      <c r="ED48" t="e">
        <f>AND('Dry Cleaner'!#REF!,"AAAAAG+/ZoU=")</f>
        <v>#REF!</v>
      </c>
      <c r="EE48" t="e">
        <f>AND('Dry Cleaner'!#REF!,"AAAAAG+/ZoY=")</f>
        <v>#REF!</v>
      </c>
      <c r="EF48" t="e">
        <f>AND('Dry Cleaner'!#REF!,"AAAAAG+/Zoc=")</f>
        <v>#REF!</v>
      </c>
      <c r="EG48" t="e">
        <f>AND('Dry Cleaner'!#REF!,"AAAAAG+/Zog=")</f>
        <v>#REF!</v>
      </c>
      <c r="EH48" t="e">
        <f>AND('Dry Cleaner'!#REF!,"AAAAAG+/Zok=")</f>
        <v>#REF!</v>
      </c>
      <c r="EI48" t="e">
        <f>AND('Dry Cleaner'!#REF!,"AAAAAG+/Zoo=")</f>
        <v>#REF!</v>
      </c>
      <c r="EJ48" t="e">
        <f>IF('Dry Cleaner'!#REF!,"AAAAAG+/Zos=",0)</f>
        <v>#REF!</v>
      </c>
      <c r="EK48" t="e">
        <f>AND('Dry Cleaner'!#REF!,"AAAAAG+/Zow=")</f>
        <v>#REF!</v>
      </c>
      <c r="EL48" t="e">
        <f>AND('Dry Cleaner'!#REF!,"AAAAAG+/Zo0=")</f>
        <v>#REF!</v>
      </c>
      <c r="EM48" t="e">
        <f>AND('Dry Cleaner'!#REF!,"AAAAAG+/Zo4=")</f>
        <v>#REF!</v>
      </c>
      <c r="EN48" t="e">
        <f>AND('Dry Cleaner'!#REF!,"AAAAAG+/Zo8=")</f>
        <v>#REF!</v>
      </c>
      <c r="EO48" t="e">
        <f>AND('Dry Cleaner'!#REF!,"AAAAAG+/ZpA=")</f>
        <v>#REF!</v>
      </c>
      <c r="EP48" t="e">
        <f>AND('Dry Cleaner'!#REF!,"AAAAAG+/ZpE=")</f>
        <v>#REF!</v>
      </c>
      <c r="EQ48" t="e">
        <f>AND('Dry Cleaner'!#REF!,"AAAAAG+/ZpI=")</f>
        <v>#REF!</v>
      </c>
      <c r="ER48" t="e">
        <f>AND('Dry Cleaner'!#REF!,"AAAAAG+/ZpM=")</f>
        <v>#REF!</v>
      </c>
      <c r="ES48" t="e">
        <f>AND('Dry Cleaner'!#REF!,"AAAAAG+/ZpQ=")</f>
        <v>#REF!</v>
      </c>
      <c r="ET48" t="e">
        <f>AND('Dry Cleaner'!#REF!,"AAAAAG+/ZpU=")</f>
        <v>#REF!</v>
      </c>
      <c r="EU48" t="e">
        <f>AND('Dry Cleaner'!#REF!,"AAAAAG+/ZpY=")</f>
        <v>#REF!</v>
      </c>
      <c r="EV48" t="e">
        <f>AND('Dry Cleaner'!#REF!,"AAAAAG+/Zpc=")</f>
        <v>#REF!</v>
      </c>
      <c r="EW48" t="e">
        <f>AND('Dry Cleaner'!#REF!,"AAAAAG+/Zpg=")</f>
        <v>#REF!</v>
      </c>
      <c r="EX48" t="e">
        <f>AND('Dry Cleaner'!#REF!,"AAAAAG+/Zpk=")</f>
        <v>#REF!</v>
      </c>
      <c r="EY48" t="e">
        <f>AND('Dry Cleaner'!#REF!,"AAAAAG+/Zpo=")</f>
        <v>#REF!</v>
      </c>
      <c r="EZ48" t="e">
        <f>AND('Dry Cleaner'!#REF!,"AAAAAG+/Zps=")</f>
        <v>#REF!</v>
      </c>
      <c r="FA48" t="e">
        <f>AND('Dry Cleaner'!#REF!,"AAAAAG+/Zpw=")</f>
        <v>#REF!</v>
      </c>
      <c r="FB48" t="e">
        <f>AND('Dry Cleaner'!#REF!,"AAAAAG+/Zp0=")</f>
        <v>#REF!</v>
      </c>
      <c r="FC48" t="e">
        <f>AND('Dry Cleaner'!#REF!,"AAAAAG+/Zp4=")</f>
        <v>#REF!</v>
      </c>
      <c r="FD48" t="e">
        <f>AND('Dry Cleaner'!#REF!,"AAAAAG+/Zp8=")</f>
        <v>#REF!</v>
      </c>
      <c r="FE48" t="e">
        <f>AND('Dry Cleaner'!#REF!,"AAAAAG+/ZqA=")</f>
        <v>#REF!</v>
      </c>
      <c r="FF48" t="e">
        <f>AND('Dry Cleaner'!#REF!,"AAAAAG+/ZqE=")</f>
        <v>#REF!</v>
      </c>
      <c r="FG48" t="e">
        <f>AND('Dry Cleaner'!#REF!,"AAAAAG+/ZqI=")</f>
        <v>#REF!</v>
      </c>
      <c r="FH48" t="e">
        <f>AND('Dry Cleaner'!#REF!,"AAAAAG+/ZqM=")</f>
        <v>#REF!</v>
      </c>
      <c r="FI48" t="e">
        <f>AND('Dry Cleaner'!#REF!,"AAAAAG+/ZqQ=")</f>
        <v>#REF!</v>
      </c>
      <c r="FJ48" t="e">
        <f>IF('Dry Cleaner'!#REF!,"AAAAAG+/ZqU=",0)</f>
        <v>#REF!</v>
      </c>
      <c r="FK48" t="e">
        <f>AND('Dry Cleaner'!#REF!,"AAAAAG+/ZqY=")</f>
        <v>#REF!</v>
      </c>
      <c r="FL48" t="e">
        <f>AND('Dry Cleaner'!#REF!,"AAAAAG+/Zqc=")</f>
        <v>#REF!</v>
      </c>
      <c r="FM48" t="e">
        <f>AND('Dry Cleaner'!#REF!,"AAAAAG+/Zqg=")</f>
        <v>#REF!</v>
      </c>
      <c r="FN48" t="e">
        <f>AND('Dry Cleaner'!#REF!,"AAAAAG+/Zqk=")</f>
        <v>#REF!</v>
      </c>
      <c r="FO48" t="e">
        <f>AND('Dry Cleaner'!#REF!,"AAAAAG+/Zqo=")</f>
        <v>#REF!</v>
      </c>
      <c r="FP48" t="e">
        <f>AND('Dry Cleaner'!#REF!,"AAAAAG+/Zqs=")</f>
        <v>#REF!</v>
      </c>
      <c r="FQ48" t="e">
        <f>AND('Dry Cleaner'!#REF!,"AAAAAG+/Zqw=")</f>
        <v>#REF!</v>
      </c>
      <c r="FR48" t="e">
        <f>AND('Dry Cleaner'!#REF!,"AAAAAG+/Zq0=")</f>
        <v>#REF!</v>
      </c>
      <c r="FS48" t="e">
        <f>AND('Dry Cleaner'!#REF!,"AAAAAG+/Zq4=")</f>
        <v>#REF!</v>
      </c>
      <c r="FT48" t="e">
        <f>AND('Dry Cleaner'!#REF!,"AAAAAG+/Zq8=")</f>
        <v>#REF!</v>
      </c>
      <c r="FU48" t="e">
        <f>AND('Dry Cleaner'!#REF!,"AAAAAG+/ZrA=")</f>
        <v>#REF!</v>
      </c>
      <c r="FV48" t="e">
        <f>AND('Dry Cleaner'!#REF!,"AAAAAG+/ZrE=")</f>
        <v>#REF!</v>
      </c>
      <c r="FW48" t="e">
        <f>AND('Dry Cleaner'!#REF!,"AAAAAG+/ZrI=")</f>
        <v>#REF!</v>
      </c>
      <c r="FX48" t="e">
        <f>AND('Dry Cleaner'!#REF!,"AAAAAG+/ZrM=")</f>
        <v>#REF!</v>
      </c>
      <c r="FY48" t="e">
        <f>AND('Dry Cleaner'!#REF!,"AAAAAG+/ZrQ=")</f>
        <v>#REF!</v>
      </c>
      <c r="FZ48" t="e">
        <f>AND('Dry Cleaner'!#REF!,"AAAAAG+/ZrU=")</f>
        <v>#REF!</v>
      </c>
      <c r="GA48" t="e">
        <f>AND('Dry Cleaner'!#REF!,"AAAAAG+/ZrY=")</f>
        <v>#REF!</v>
      </c>
      <c r="GB48" t="e">
        <f>AND('Dry Cleaner'!#REF!,"AAAAAG+/Zrc=")</f>
        <v>#REF!</v>
      </c>
      <c r="GC48" t="e">
        <f>AND('Dry Cleaner'!#REF!,"AAAAAG+/Zrg=")</f>
        <v>#REF!</v>
      </c>
      <c r="GD48" t="e">
        <f>AND('Dry Cleaner'!#REF!,"AAAAAG+/Zrk=")</f>
        <v>#REF!</v>
      </c>
      <c r="GE48" t="e">
        <f>AND('Dry Cleaner'!#REF!,"AAAAAG+/Zro=")</f>
        <v>#REF!</v>
      </c>
      <c r="GF48" t="e">
        <f>AND('Dry Cleaner'!#REF!,"AAAAAG+/Zrs=")</f>
        <v>#REF!</v>
      </c>
      <c r="GG48" t="e">
        <f>AND('Dry Cleaner'!#REF!,"AAAAAG+/Zrw=")</f>
        <v>#REF!</v>
      </c>
      <c r="GH48" t="e">
        <f>AND('Dry Cleaner'!#REF!,"AAAAAG+/Zr0=")</f>
        <v>#REF!</v>
      </c>
      <c r="GI48" t="e">
        <f>AND('Dry Cleaner'!#REF!,"AAAAAG+/Zr4=")</f>
        <v>#REF!</v>
      </c>
      <c r="GJ48" t="e">
        <f>IF('Dry Cleaner'!#REF!,"AAAAAG+/Zr8=",0)</f>
        <v>#REF!</v>
      </c>
      <c r="GK48" t="e">
        <f>AND('Dry Cleaner'!#REF!,"AAAAAG+/ZsA=")</f>
        <v>#REF!</v>
      </c>
      <c r="GL48" t="e">
        <f>AND('Dry Cleaner'!#REF!,"AAAAAG+/ZsE=")</f>
        <v>#REF!</v>
      </c>
      <c r="GM48" t="e">
        <f>AND('Dry Cleaner'!#REF!,"AAAAAG+/ZsI=")</f>
        <v>#REF!</v>
      </c>
      <c r="GN48" t="e">
        <f>AND('Dry Cleaner'!#REF!,"AAAAAG+/ZsM=")</f>
        <v>#REF!</v>
      </c>
      <c r="GO48" t="e">
        <f>AND('Dry Cleaner'!#REF!,"AAAAAG+/ZsQ=")</f>
        <v>#REF!</v>
      </c>
      <c r="GP48" t="e">
        <f>AND('Dry Cleaner'!#REF!,"AAAAAG+/ZsU=")</f>
        <v>#REF!</v>
      </c>
      <c r="GQ48" t="e">
        <f>AND('Dry Cleaner'!#REF!,"AAAAAG+/ZsY=")</f>
        <v>#REF!</v>
      </c>
      <c r="GR48" t="e">
        <f>AND('Dry Cleaner'!#REF!,"AAAAAG+/Zsc=")</f>
        <v>#REF!</v>
      </c>
      <c r="GS48" t="e">
        <f>AND('Dry Cleaner'!#REF!,"AAAAAG+/Zsg=")</f>
        <v>#REF!</v>
      </c>
      <c r="GT48" t="e">
        <f>AND('Dry Cleaner'!#REF!,"AAAAAG+/Zsk=")</f>
        <v>#REF!</v>
      </c>
      <c r="GU48" t="e">
        <f>AND('Dry Cleaner'!#REF!,"AAAAAG+/Zso=")</f>
        <v>#REF!</v>
      </c>
      <c r="GV48" t="e">
        <f>AND('Dry Cleaner'!#REF!,"AAAAAG+/Zss=")</f>
        <v>#REF!</v>
      </c>
      <c r="GW48" t="e">
        <f>AND('Dry Cleaner'!#REF!,"AAAAAG+/Zsw=")</f>
        <v>#REF!</v>
      </c>
      <c r="GX48" t="e">
        <f>AND('Dry Cleaner'!#REF!,"AAAAAG+/Zs0=")</f>
        <v>#REF!</v>
      </c>
      <c r="GY48" t="e">
        <f>AND('Dry Cleaner'!#REF!,"AAAAAG+/Zs4=")</f>
        <v>#REF!</v>
      </c>
      <c r="GZ48" t="e">
        <f>AND('Dry Cleaner'!#REF!,"AAAAAG+/Zs8=")</f>
        <v>#REF!</v>
      </c>
      <c r="HA48" t="e">
        <f>AND('Dry Cleaner'!#REF!,"AAAAAG+/ZtA=")</f>
        <v>#REF!</v>
      </c>
      <c r="HB48" t="e">
        <f>AND('Dry Cleaner'!#REF!,"AAAAAG+/ZtE=")</f>
        <v>#REF!</v>
      </c>
      <c r="HC48" t="e">
        <f>AND('Dry Cleaner'!#REF!,"AAAAAG+/ZtI=")</f>
        <v>#REF!</v>
      </c>
      <c r="HD48" t="e">
        <f>AND('Dry Cleaner'!#REF!,"AAAAAG+/ZtM=")</f>
        <v>#REF!</v>
      </c>
      <c r="HE48" t="e">
        <f>AND('Dry Cleaner'!#REF!,"AAAAAG+/ZtQ=")</f>
        <v>#REF!</v>
      </c>
      <c r="HF48" t="e">
        <f>AND('Dry Cleaner'!#REF!,"AAAAAG+/ZtU=")</f>
        <v>#REF!</v>
      </c>
      <c r="HG48" t="e">
        <f>AND('Dry Cleaner'!#REF!,"AAAAAG+/ZtY=")</f>
        <v>#REF!</v>
      </c>
      <c r="HH48" t="e">
        <f>AND('Dry Cleaner'!#REF!,"AAAAAG+/Ztc=")</f>
        <v>#REF!</v>
      </c>
      <c r="HI48" t="e">
        <f>AND('Dry Cleaner'!#REF!,"AAAAAG+/Ztg=")</f>
        <v>#REF!</v>
      </c>
      <c r="HJ48" t="e">
        <f>IF('Dry Cleaner'!#REF!,"AAAAAG+/Ztk=",0)</f>
        <v>#REF!</v>
      </c>
      <c r="HK48" t="e">
        <f>AND('Dry Cleaner'!#REF!,"AAAAAG+/Zto=")</f>
        <v>#REF!</v>
      </c>
      <c r="HL48" t="e">
        <f>AND('Dry Cleaner'!#REF!,"AAAAAG+/Zts=")</f>
        <v>#REF!</v>
      </c>
      <c r="HM48" t="e">
        <f>AND('Dry Cleaner'!#REF!,"AAAAAG+/Ztw=")</f>
        <v>#REF!</v>
      </c>
      <c r="HN48" t="e">
        <f>AND('Dry Cleaner'!#REF!,"AAAAAG+/Zt0=")</f>
        <v>#REF!</v>
      </c>
      <c r="HO48" t="e">
        <f>AND('Dry Cleaner'!#REF!,"AAAAAG+/Zt4=")</f>
        <v>#REF!</v>
      </c>
      <c r="HP48" t="e">
        <f>AND('Dry Cleaner'!#REF!,"AAAAAG+/Zt8=")</f>
        <v>#REF!</v>
      </c>
      <c r="HQ48" t="e">
        <f>AND('Dry Cleaner'!#REF!,"AAAAAG+/ZuA=")</f>
        <v>#REF!</v>
      </c>
      <c r="HR48" t="e">
        <f>AND('Dry Cleaner'!#REF!,"AAAAAG+/ZuE=")</f>
        <v>#REF!</v>
      </c>
      <c r="HS48" t="e">
        <f>AND('Dry Cleaner'!#REF!,"AAAAAG+/ZuI=")</f>
        <v>#REF!</v>
      </c>
      <c r="HT48" t="e">
        <f>AND('Dry Cleaner'!#REF!,"AAAAAG+/ZuM=")</f>
        <v>#REF!</v>
      </c>
      <c r="HU48" t="e">
        <f>AND('Dry Cleaner'!#REF!,"AAAAAG+/ZuQ=")</f>
        <v>#REF!</v>
      </c>
      <c r="HV48" t="e">
        <f>AND('Dry Cleaner'!#REF!,"AAAAAG+/ZuU=")</f>
        <v>#REF!</v>
      </c>
      <c r="HW48" t="e">
        <f>AND('Dry Cleaner'!#REF!,"AAAAAG+/ZuY=")</f>
        <v>#REF!</v>
      </c>
      <c r="HX48" t="e">
        <f>AND('Dry Cleaner'!#REF!,"AAAAAG+/Zuc=")</f>
        <v>#REF!</v>
      </c>
      <c r="HY48" t="e">
        <f>AND('Dry Cleaner'!#REF!,"AAAAAG+/Zug=")</f>
        <v>#REF!</v>
      </c>
      <c r="HZ48" t="e">
        <f>AND('Dry Cleaner'!#REF!,"AAAAAG+/Zuk=")</f>
        <v>#REF!</v>
      </c>
      <c r="IA48" t="e">
        <f>AND('Dry Cleaner'!#REF!,"AAAAAG+/Zuo=")</f>
        <v>#REF!</v>
      </c>
      <c r="IB48" t="e">
        <f>AND('Dry Cleaner'!#REF!,"AAAAAG+/Zus=")</f>
        <v>#REF!</v>
      </c>
      <c r="IC48" t="e">
        <f>AND('Dry Cleaner'!#REF!,"AAAAAG+/Zuw=")</f>
        <v>#REF!</v>
      </c>
      <c r="ID48" t="e">
        <f>AND('Dry Cleaner'!#REF!,"AAAAAG+/Zu0=")</f>
        <v>#REF!</v>
      </c>
      <c r="IE48" t="e">
        <f>AND('Dry Cleaner'!#REF!,"AAAAAG+/Zu4=")</f>
        <v>#REF!</v>
      </c>
      <c r="IF48" t="e">
        <f>AND('Dry Cleaner'!#REF!,"AAAAAG+/Zu8=")</f>
        <v>#REF!</v>
      </c>
      <c r="IG48" t="e">
        <f>AND('Dry Cleaner'!#REF!,"AAAAAG+/ZvA=")</f>
        <v>#REF!</v>
      </c>
      <c r="IH48" t="e">
        <f>AND('Dry Cleaner'!#REF!,"AAAAAG+/ZvE=")</f>
        <v>#REF!</v>
      </c>
      <c r="II48" t="e">
        <f>AND('Dry Cleaner'!#REF!,"AAAAAG+/ZvI=")</f>
        <v>#REF!</v>
      </c>
      <c r="IJ48" t="e">
        <f>IF('Dry Cleaner'!#REF!,"AAAAAG+/ZvM=",0)</f>
        <v>#REF!</v>
      </c>
      <c r="IK48" t="e">
        <f>AND('Dry Cleaner'!#REF!,"AAAAAG+/ZvQ=")</f>
        <v>#REF!</v>
      </c>
      <c r="IL48" t="e">
        <f>AND('Dry Cleaner'!#REF!,"AAAAAG+/ZvU=")</f>
        <v>#REF!</v>
      </c>
      <c r="IM48" t="e">
        <f>AND('Dry Cleaner'!#REF!,"AAAAAG+/ZvY=")</f>
        <v>#REF!</v>
      </c>
      <c r="IN48" t="e">
        <f>AND('Dry Cleaner'!#REF!,"AAAAAG+/Zvc=")</f>
        <v>#REF!</v>
      </c>
      <c r="IO48" t="e">
        <f>AND('Dry Cleaner'!#REF!,"AAAAAG+/Zvg=")</f>
        <v>#REF!</v>
      </c>
      <c r="IP48" t="e">
        <f>AND('Dry Cleaner'!#REF!,"AAAAAG+/Zvk=")</f>
        <v>#REF!</v>
      </c>
      <c r="IQ48" t="e">
        <f>AND('Dry Cleaner'!#REF!,"AAAAAG+/Zvo=")</f>
        <v>#REF!</v>
      </c>
      <c r="IR48" t="e">
        <f>AND('Dry Cleaner'!#REF!,"AAAAAG+/Zvs=")</f>
        <v>#REF!</v>
      </c>
      <c r="IS48" t="e">
        <f>AND('Dry Cleaner'!#REF!,"AAAAAG+/Zvw=")</f>
        <v>#REF!</v>
      </c>
      <c r="IT48" t="e">
        <f>AND('Dry Cleaner'!#REF!,"AAAAAG+/Zv0=")</f>
        <v>#REF!</v>
      </c>
      <c r="IU48" t="e">
        <f>AND('Dry Cleaner'!#REF!,"AAAAAG+/Zv4=")</f>
        <v>#REF!</v>
      </c>
      <c r="IV48" t="e">
        <f>AND('Dry Cleaner'!#REF!,"AAAAAG+/Zv8=")</f>
        <v>#REF!</v>
      </c>
    </row>
    <row r="49" spans="1:256">
      <c r="A49" t="e">
        <f>AND('Dry Cleaner'!#REF!,"AAAAAGX/fgA=")</f>
        <v>#REF!</v>
      </c>
      <c r="B49" t="e">
        <f>AND('Dry Cleaner'!#REF!,"AAAAAGX/fgE=")</f>
        <v>#REF!</v>
      </c>
      <c r="C49" t="e">
        <f>AND('Dry Cleaner'!#REF!,"AAAAAGX/fgI=")</f>
        <v>#REF!</v>
      </c>
      <c r="D49" t="e">
        <f>AND('Dry Cleaner'!#REF!,"AAAAAGX/fgM=")</f>
        <v>#REF!</v>
      </c>
      <c r="E49" t="e">
        <f>AND('Dry Cleaner'!#REF!,"AAAAAGX/fgQ=")</f>
        <v>#REF!</v>
      </c>
      <c r="F49" t="e">
        <f>AND('Dry Cleaner'!#REF!,"AAAAAGX/fgU=")</f>
        <v>#REF!</v>
      </c>
      <c r="G49" t="e">
        <f>AND('Dry Cleaner'!#REF!,"AAAAAGX/fgY=")</f>
        <v>#REF!</v>
      </c>
      <c r="H49" t="e">
        <f>AND('Dry Cleaner'!#REF!,"AAAAAGX/fgc=")</f>
        <v>#REF!</v>
      </c>
      <c r="I49" t="e">
        <f>AND('Dry Cleaner'!#REF!,"AAAAAGX/fgg=")</f>
        <v>#REF!</v>
      </c>
      <c r="J49" t="e">
        <f>AND('Dry Cleaner'!#REF!,"AAAAAGX/fgk=")</f>
        <v>#REF!</v>
      </c>
      <c r="K49" t="e">
        <f>AND('Dry Cleaner'!#REF!,"AAAAAGX/fgo=")</f>
        <v>#REF!</v>
      </c>
      <c r="L49" t="e">
        <f>AND('Dry Cleaner'!#REF!,"AAAAAGX/fgs=")</f>
        <v>#REF!</v>
      </c>
      <c r="M49" t="e">
        <f>AND('Dry Cleaner'!#REF!,"AAAAAGX/fgw=")</f>
        <v>#REF!</v>
      </c>
      <c r="N49" t="e">
        <f>IF('Dry Cleaner'!#REF!,"AAAAAGX/fg0=",0)</f>
        <v>#REF!</v>
      </c>
      <c r="O49" t="e">
        <f>AND('Dry Cleaner'!#REF!,"AAAAAGX/fg4=")</f>
        <v>#REF!</v>
      </c>
      <c r="P49" t="e">
        <f>AND('Dry Cleaner'!#REF!,"AAAAAGX/fg8=")</f>
        <v>#REF!</v>
      </c>
      <c r="Q49" t="e">
        <f>AND('Dry Cleaner'!#REF!,"AAAAAGX/fhA=")</f>
        <v>#REF!</v>
      </c>
      <c r="R49" t="e">
        <f>AND('Dry Cleaner'!#REF!,"AAAAAGX/fhE=")</f>
        <v>#REF!</v>
      </c>
      <c r="S49" t="e">
        <f>AND('Dry Cleaner'!#REF!,"AAAAAGX/fhI=")</f>
        <v>#REF!</v>
      </c>
      <c r="T49" t="e">
        <f>AND('Dry Cleaner'!#REF!,"AAAAAGX/fhM=")</f>
        <v>#REF!</v>
      </c>
      <c r="U49" t="e">
        <f>AND('Dry Cleaner'!#REF!,"AAAAAGX/fhQ=")</f>
        <v>#REF!</v>
      </c>
      <c r="V49" t="e">
        <f>AND('Dry Cleaner'!#REF!,"AAAAAGX/fhU=")</f>
        <v>#REF!</v>
      </c>
      <c r="W49" t="e">
        <f>AND('Dry Cleaner'!#REF!,"AAAAAGX/fhY=")</f>
        <v>#REF!</v>
      </c>
      <c r="X49" t="e">
        <f>AND('Dry Cleaner'!#REF!,"AAAAAGX/fhc=")</f>
        <v>#REF!</v>
      </c>
      <c r="Y49" t="e">
        <f>AND('Dry Cleaner'!#REF!,"AAAAAGX/fhg=")</f>
        <v>#REF!</v>
      </c>
      <c r="Z49" t="e">
        <f>AND('Dry Cleaner'!#REF!,"AAAAAGX/fhk=")</f>
        <v>#REF!</v>
      </c>
      <c r="AA49" t="e">
        <f>AND('Dry Cleaner'!#REF!,"AAAAAGX/fho=")</f>
        <v>#REF!</v>
      </c>
      <c r="AB49" t="e">
        <f>AND('Dry Cleaner'!#REF!,"AAAAAGX/fhs=")</f>
        <v>#REF!</v>
      </c>
      <c r="AC49" t="e">
        <f>AND('Dry Cleaner'!#REF!,"AAAAAGX/fhw=")</f>
        <v>#REF!</v>
      </c>
      <c r="AD49" t="e">
        <f>AND('Dry Cleaner'!#REF!,"AAAAAGX/fh0=")</f>
        <v>#REF!</v>
      </c>
      <c r="AE49" t="e">
        <f>AND('Dry Cleaner'!#REF!,"AAAAAGX/fh4=")</f>
        <v>#REF!</v>
      </c>
      <c r="AF49" t="e">
        <f>AND('Dry Cleaner'!#REF!,"AAAAAGX/fh8=")</f>
        <v>#REF!</v>
      </c>
      <c r="AG49" t="e">
        <f>AND('Dry Cleaner'!#REF!,"AAAAAGX/fiA=")</f>
        <v>#REF!</v>
      </c>
      <c r="AH49" t="e">
        <f>AND('Dry Cleaner'!#REF!,"AAAAAGX/fiE=")</f>
        <v>#REF!</v>
      </c>
      <c r="AI49" t="e">
        <f>AND('Dry Cleaner'!#REF!,"AAAAAGX/fiI=")</f>
        <v>#REF!</v>
      </c>
      <c r="AJ49" t="e">
        <f>AND('Dry Cleaner'!#REF!,"AAAAAGX/fiM=")</f>
        <v>#REF!</v>
      </c>
      <c r="AK49" t="e">
        <f>AND('Dry Cleaner'!#REF!,"AAAAAGX/fiQ=")</f>
        <v>#REF!</v>
      </c>
      <c r="AL49" t="e">
        <f>AND('Dry Cleaner'!#REF!,"AAAAAGX/fiU=")</f>
        <v>#REF!</v>
      </c>
      <c r="AM49" t="e">
        <f>AND('Dry Cleaner'!#REF!,"AAAAAGX/fiY=")</f>
        <v>#REF!</v>
      </c>
      <c r="AN49" t="e">
        <f>IF('Dry Cleaner'!#REF!,"AAAAAGX/fic=",0)</f>
        <v>#REF!</v>
      </c>
      <c r="AO49" t="e">
        <f>AND('Dry Cleaner'!#REF!,"AAAAAGX/fig=")</f>
        <v>#REF!</v>
      </c>
      <c r="AP49" t="e">
        <f>AND('Dry Cleaner'!#REF!,"AAAAAGX/fik=")</f>
        <v>#REF!</v>
      </c>
      <c r="AQ49" t="e">
        <f>AND('Dry Cleaner'!#REF!,"AAAAAGX/fio=")</f>
        <v>#REF!</v>
      </c>
      <c r="AR49" t="e">
        <f>AND('Dry Cleaner'!#REF!,"AAAAAGX/fis=")</f>
        <v>#REF!</v>
      </c>
      <c r="AS49" t="e">
        <f>AND('Dry Cleaner'!#REF!,"AAAAAGX/fiw=")</f>
        <v>#REF!</v>
      </c>
      <c r="AT49" t="e">
        <f>AND('Dry Cleaner'!#REF!,"AAAAAGX/fi0=")</f>
        <v>#REF!</v>
      </c>
      <c r="AU49" t="e">
        <f>AND('Dry Cleaner'!#REF!,"AAAAAGX/fi4=")</f>
        <v>#REF!</v>
      </c>
      <c r="AV49" t="e">
        <f>AND('Dry Cleaner'!#REF!,"AAAAAGX/fi8=")</f>
        <v>#REF!</v>
      </c>
      <c r="AW49" t="e">
        <f>AND('Dry Cleaner'!#REF!,"AAAAAGX/fjA=")</f>
        <v>#REF!</v>
      </c>
      <c r="AX49" t="e">
        <f>AND('Dry Cleaner'!#REF!,"AAAAAGX/fjE=")</f>
        <v>#REF!</v>
      </c>
      <c r="AY49" t="e">
        <f>AND('Dry Cleaner'!#REF!,"AAAAAGX/fjI=")</f>
        <v>#REF!</v>
      </c>
      <c r="AZ49" t="e">
        <f>AND('Dry Cleaner'!#REF!,"AAAAAGX/fjM=")</f>
        <v>#REF!</v>
      </c>
      <c r="BA49" t="e">
        <f>AND('Dry Cleaner'!#REF!,"AAAAAGX/fjQ=")</f>
        <v>#REF!</v>
      </c>
      <c r="BB49" t="e">
        <f>AND('Dry Cleaner'!#REF!,"AAAAAGX/fjU=")</f>
        <v>#REF!</v>
      </c>
      <c r="BC49" t="e">
        <f>AND('Dry Cleaner'!#REF!,"AAAAAGX/fjY=")</f>
        <v>#REF!</v>
      </c>
      <c r="BD49" t="e">
        <f>AND('Dry Cleaner'!#REF!,"AAAAAGX/fjc=")</f>
        <v>#REF!</v>
      </c>
      <c r="BE49" t="e">
        <f>AND('Dry Cleaner'!#REF!,"AAAAAGX/fjg=")</f>
        <v>#REF!</v>
      </c>
      <c r="BF49" t="e">
        <f>AND('Dry Cleaner'!#REF!,"AAAAAGX/fjk=")</f>
        <v>#REF!</v>
      </c>
      <c r="BG49" t="e">
        <f>AND('Dry Cleaner'!#REF!,"AAAAAGX/fjo=")</f>
        <v>#REF!</v>
      </c>
      <c r="BH49" t="e">
        <f>AND('Dry Cleaner'!#REF!,"AAAAAGX/fjs=")</f>
        <v>#REF!</v>
      </c>
      <c r="BI49" t="e">
        <f>AND('Dry Cleaner'!#REF!,"AAAAAGX/fjw=")</f>
        <v>#REF!</v>
      </c>
      <c r="BJ49" t="e">
        <f>AND('Dry Cleaner'!#REF!,"AAAAAGX/fj0=")</f>
        <v>#REF!</v>
      </c>
      <c r="BK49" t="e">
        <f>AND('Dry Cleaner'!#REF!,"AAAAAGX/fj4=")</f>
        <v>#REF!</v>
      </c>
      <c r="BL49" t="e">
        <f>AND('Dry Cleaner'!#REF!,"AAAAAGX/fj8=")</f>
        <v>#REF!</v>
      </c>
      <c r="BM49" t="e">
        <f>AND('Dry Cleaner'!#REF!,"AAAAAGX/fkA=")</f>
        <v>#REF!</v>
      </c>
      <c r="BN49" t="e">
        <f>IF('Dry Cleaner'!#REF!,"AAAAAGX/fkE=",0)</f>
        <v>#REF!</v>
      </c>
      <c r="BO49" t="e">
        <f>AND('Dry Cleaner'!#REF!,"AAAAAGX/fkI=")</f>
        <v>#REF!</v>
      </c>
      <c r="BP49" t="e">
        <f>AND('Dry Cleaner'!#REF!,"AAAAAGX/fkM=")</f>
        <v>#REF!</v>
      </c>
      <c r="BQ49" t="e">
        <f>AND('Dry Cleaner'!#REF!,"AAAAAGX/fkQ=")</f>
        <v>#REF!</v>
      </c>
      <c r="BR49" t="e">
        <f>AND('Dry Cleaner'!#REF!,"AAAAAGX/fkU=")</f>
        <v>#REF!</v>
      </c>
      <c r="BS49" t="e">
        <f>AND('Dry Cleaner'!#REF!,"AAAAAGX/fkY=")</f>
        <v>#REF!</v>
      </c>
      <c r="BT49" t="e">
        <f>AND('Dry Cleaner'!#REF!,"AAAAAGX/fkc=")</f>
        <v>#REF!</v>
      </c>
      <c r="BU49" t="e">
        <f>AND('Dry Cleaner'!#REF!,"AAAAAGX/fkg=")</f>
        <v>#REF!</v>
      </c>
      <c r="BV49" t="e">
        <f>AND('Dry Cleaner'!#REF!,"AAAAAGX/fkk=")</f>
        <v>#REF!</v>
      </c>
      <c r="BW49" t="e">
        <f>AND('Dry Cleaner'!#REF!,"AAAAAGX/fko=")</f>
        <v>#REF!</v>
      </c>
      <c r="BX49" t="e">
        <f>AND('Dry Cleaner'!#REF!,"AAAAAGX/fks=")</f>
        <v>#REF!</v>
      </c>
      <c r="BY49" t="e">
        <f>AND('Dry Cleaner'!#REF!,"AAAAAGX/fkw=")</f>
        <v>#REF!</v>
      </c>
      <c r="BZ49" t="e">
        <f>AND('Dry Cleaner'!#REF!,"AAAAAGX/fk0=")</f>
        <v>#REF!</v>
      </c>
      <c r="CA49" t="e">
        <f>AND('Dry Cleaner'!#REF!,"AAAAAGX/fk4=")</f>
        <v>#REF!</v>
      </c>
      <c r="CB49" t="e">
        <f>AND('Dry Cleaner'!#REF!,"AAAAAGX/fk8=")</f>
        <v>#REF!</v>
      </c>
      <c r="CC49" t="e">
        <f>AND('Dry Cleaner'!#REF!,"AAAAAGX/flA=")</f>
        <v>#REF!</v>
      </c>
      <c r="CD49" t="e">
        <f>AND('Dry Cleaner'!#REF!,"AAAAAGX/flE=")</f>
        <v>#REF!</v>
      </c>
      <c r="CE49" t="e">
        <f>AND('Dry Cleaner'!#REF!,"AAAAAGX/flI=")</f>
        <v>#REF!</v>
      </c>
      <c r="CF49" t="e">
        <f>AND('Dry Cleaner'!#REF!,"AAAAAGX/flM=")</f>
        <v>#REF!</v>
      </c>
      <c r="CG49" t="e">
        <f>AND('Dry Cleaner'!#REF!,"AAAAAGX/flQ=")</f>
        <v>#REF!</v>
      </c>
      <c r="CH49" t="e">
        <f>AND('Dry Cleaner'!#REF!,"AAAAAGX/flU=")</f>
        <v>#REF!</v>
      </c>
      <c r="CI49" t="e">
        <f>AND('Dry Cleaner'!#REF!,"AAAAAGX/flY=")</f>
        <v>#REF!</v>
      </c>
      <c r="CJ49" t="e">
        <f>AND('Dry Cleaner'!#REF!,"AAAAAGX/flc=")</f>
        <v>#REF!</v>
      </c>
      <c r="CK49" t="e">
        <f>AND('Dry Cleaner'!#REF!,"AAAAAGX/flg=")</f>
        <v>#REF!</v>
      </c>
      <c r="CL49" t="e">
        <f>AND('Dry Cleaner'!#REF!,"AAAAAGX/flk=")</f>
        <v>#REF!</v>
      </c>
      <c r="CM49" t="e">
        <f>AND('Dry Cleaner'!#REF!,"AAAAAGX/flo=")</f>
        <v>#REF!</v>
      </c>
      <c r="CN49" t="e">
        <f>IF('Dry Cleaner'!#REF!,"AAAAAGX/fls=",0)</f>
        <v>#REF!</v>
      </c>
      <c r="CO49" t="e">
        <f>AND('Dry Cleaner'!#REF!,"AAAAAGX/flw=")</f>
        <v>#REF!</v>
      </c>
      <c r="CP49" t="e">
        <f>AND('Dry Cleaner'!#REF!,"AAAAAGX/fl0=")</f>
        <v>#REF!</v>
      </c>
      <c r="CQ49" t="e">
        <f>AND('Dry Cleaner'!#REF!,"AAAAAGX/fl4=")</f>
        <v>#REF!</v>
      </c>
      <c r="CR49" t="e">
        <f>AND('Dry Cleaner'!#REF!,"AAAAAGX/fl8=")</f>
        <v>#REF!</v>
      </c>
      <c r="CS49" t="e">
        <f>AND('Dry Cleaner'!#REF!,"AAAAAGX/fmA=")</f>
        <v>#REF!</v>
      </c>
      <c r="CT49" t="e">
        <f>AND('Dry Cleaner'!#REF!,"AAAAAGX/fmE=")</f>
        <v>#REF!</v>
      </c>
      <c r="CU49" t="e">
        <f>AND('Dry Cleaner'!#REF!,"AAAAAGX/fmI=")</f>
        <v>#REF!</v>
      </c>
      <c r="CV49" t="e">
        <f>AND('Dry Cleaner'!#REF!,"AAAAAGX/fmM=")</f>
        <v>#REF!</v>
      </c>
      <c r="CW49" t="e">
        <f>AND('Dry Cleaner'!#REF!,"AAAAAGX/fmQ=")</f>
        <v>#REF!</v>
      </c>
      <c r="CX49" t="e">
        <f>AND('Dry Cleaner'!#REF!,"AAAAAGX/fmU=")</f>
        <v>#REF!</v>
      </c>
      <c r="CY49" t="e">
        <f>AND('Dry Cleaner'!#REF!,"AAAAAGX/fmY=")</f>
        <v>#REF!</v>
      </c>
      <c r="CZ49" t="e">
        <f>AND('Dry Cleaner'!#REF!,"AAAAAGX/fmc=")</f>
        <v>#REF!</v>
      </c>
      <c r="DA49" t="e">
        <f>AND('Dry Cleaner'!#REF!,"AAAAAGX/fmg=")</f>
        <v>#REF!</v>
      </c>
      <c r="DB49" t="e">
        <f>AND('Dry Cleaner'!#REF!,"AAAAAGX/fmk=")</f>
        <v>#REF!</v>
      </c>
      <c r="DC49" t="e">
        <f>AND('Dry Cleaner'!#REF!,"AAAAAGX/fmo=")</f>
        <v>#REF!</v>
      </c>
      <c r="DD49" t="e">
        <f>AND('Dry Cleaner'!#REF!,"AAAAAGX/fms=")</f>
        <v>#REF!</v>
      </c>
      <c r="DE49" t="e">
        <f>AND('Dry Cleaner'!#REF!,"AAAAAGX/fmw=")</f>
        <v>#REF!</v>
      </c>
      <c r="DF49" t="e">
        <f>AND('Dry Cleaner'!#REF!,"AAAAAGX/fm0=")</f>
        <v>#REF!</v>
      </c>
      <c r="DG49" t="e">
        <f>AND('Dry Cleaner'!#REF!,"AAAAAGX/fm4=")</f>
        <v>#REF!</v>
      </c>
      <c r="DH49" t="e">
        <f>AND('Dry Cleaner'!#REF!,"AAAAAGX/fm8=")</f>
        <v>#REF!</v>
      </c>
      <c r="DI49" t="e">
        <f>AND('Dry Cleaner'!#REF!,"AAAAAGX/fnA=")</f>
        <v>#REF!</v>
      </c>
      <c r="DJ49" t="e">
        <f>AND('Dry Cleaner'!#REF!,"AAAAAGX/fnE=")</f>
        <v>#REF!</v>
      </c>
      <c r="DK49" t="e">
        <f>AND('Dry Cleaner'!#REF!,"AAAAAGX/fnI=")</f>
        <v>#REF!</v>
      </c>
      <c r="DL49" t="e">
        <f>AND('Dry Cleaner'!#REF!,"AAAAAGX/fnM=")</f>
        <v>#REF!</v>
      </c>
      <c r="DM49" t="e">
        <f>AND('Dry Cleaner'!#REF!,"AAAAAGX/fnQ=")</f>
        <v>#REF!</v>
      </c>
      <c r="DN49" t="e">
        <f>IF('Dry Cleaner'!#REF!,"AAAAAGX/fnU=",0)</f>
        <v>#REF!</v>
      </c>
      <c r="DO49" t="e">
        <f>AND('Dry Cleaner'!#REF!,"AAAAAGX/fnY=")</f>
        <v>#REF!</v>
      </c>
      <c r="DP49" t="e">
        <f>AND('Dry Cleaner'!#REF!,"AAAAAGX/fnc=")</f>
        <v>#REF!</v>
      </c>
      <c r="DQ49" t="e">
        <f>AND('Dry Cleaner'!#REF!,"AAAAAGX/fng=")</f>
        <v>#REF!</v>
      </c>
      <c r="DR49" t="e">
        <f>AND('Dry Cleaner'!#REF!,"AAAAAGX/fnk=")</f>
        <v>#REF!</v>
      </c>
      <c r="DS49" t="e">
        <f>AND('Dry Cleaner'!#REF!,"AAAAAGX/fno=")</f>
        <v>#REF!</v>
      </c>
      <c r="DT49" t="e">
        <f>AND('Dry Cleaner'!#REF!,"AAAAAGX/fns=")</f>
        <v>#REF!</v>
      </c>
      <c r="DU49" t="e">
        <f>AND('Dry Cleaner'!#REF!,"AAAAAGX/fnw=")</f>
        <v>#REF!</v>
      </c>
      <c r="DV49" t="e">
        <f>AND('Dry Cleaner'!#REF!,"AAAAAGX/fn0=")</f>
        <v>#REF!</v>
      </c>
      <c r="DW49" t="e">
        <f>AND('Dry Cleaner'!#REF!,"AAAAAGX/fn4=")</f>
        <v>#REF!</v>
      </c>
      <c r="DX49" t="e">
        <f>AND('Dry Cleaner'!#REF!,"AAAAAGX/fn8=")</f>
        <v>#REF!</v>
      </c>
      <c r="DY49" t="e">
        <f>AND('Dry Cleaner'!#REF!,"AAAAAGX/foA=")</f>
        <v>#REF!</v>
      </c>
      <c r="DZ49" t="e">
        <f>AND('Dry Cleaner'!#REF!,"AAAAAGX/foE=")</f>
        <v>#REF!</v>
      </c>
      <c r="EA49" t="e">
        <f>AND('Dry Cleaner'!#REF!,"AAAAAGX/foI=")</f>
        <v>#REF!</v>
      </c>
      <c r="EB49" t="e">
        <f>AND('Dry Cleaner'!#REF!,"AAAAAGX/foM=")</f>
        <v>#REF!</v>
      </c>
      <c r="EC49" t="e">
        <f>AND('Dry Cleaner'!#REF!,"AAAAAGX/foQ=")</f>
        <v>#REF!</v>
      </c>
      <c r="ED49" t="e">
        <f>AND('Dry Cleaner'!#REF!,"AAAAAGX/foU=")</f>
        <v>#REF!</v>
      </c>
      <c r="EE49" t="e">
        <f>AND('Dry Cleaner'!#REF!,"AAAAAGX/foY=")</f>
        <v>#REF!</v>
      </c>
      <c r="EF49" t="e">
        <f>AND('Dry Cleaner'!#REF!,"AAAAAGX/foc=")</f>
        <v>#REF!</v>
      </c>
      <c r="EG49" t="e">
        <f>AND('Dry Cleaner'!#REF!,"AAAAAGX/fog=")</f>
        <v>#REF!</v>
      </c>
      <c r="EH49" t="e">
        <f>AND('Dry Cleaner'!#REF!,"AAAAAGX/fok=")</f>
        <v>#REF!</v>
      </c>
      <c r="EI49" t="e">
        <f>AND('Dry Cleaner'!#REF!,"AAAAAGX/foo=")</f>
        <v>#REF!</v>
      </c>
      <c r="EJ49" t="e">
        <f>AND('Dry Cleaner'!#REF!,"AAAAAGX/fos=")</f>
        <v>#REF!</v>
      </c>
      <c r="EK49" t="e">
        <f>AND('Dry Cleaner'!#REF!,"AAAAAGX/fow=")</f>
        <v>#REF!</v>
      </c>
      <c r="EL49" t="e">
        <f>AND('Dry Cleaner'!#REF!,"AAAAAGX/fo0=")</f>
        <v>#REF!</v>
      </c>
      <c r="EM49" t="e">
        <f>AND('Dry Cleaner'!#REF!,"AAAAAGX/fo4=")</f>
        <v>#REF!</v>
      </c>
      <c r="EN49" t="e">
        <f>IF('Dry Cleaner'!#REF!,"AAAAAGX/fo8=",0)</f>
        <v>#REF!</v>
      </c>
      <c r="EO49" t="e">
        <f>AND('Dry Cleaner'!#REF!,"AAAAAGX/fpA=")</f>
        <v>#REF!</v>
      </c>
      <c r="EP49" t="e">
        <f>AND('Dry Cleaner'!#REF!,"AAAAAGX/fpE=")</f>
        <v>#REF!</v>
      </c>
      <c r="EQ49" t="e">
        <f>AND('Dry Cleaner'!#REF!,"AAAAAGX/fpI=")</f>
        <v>#REF!</v>
      </c>
      <c r="ER49" t="e">
        <f>AND('Dry Cleaner'!#REF!,"AAAAAGX/fpM=")</f>
        <v>#REF!</v>
      </c>
      <c r="ES49" t="e">
        <f>AND('Dry Cleaner'!#REF!,"AAAAAGX/fpQ=")</f>
        <v>#REF!</v>
      </c>
      <c r="ET49" t="e">
        <f>AND('Dry Cleaner'!#REF!,"AAAAAGX/fpU=")</f>
        <v>#REF!</v>
      </c>
      <c r="EU49" t="e">
        <f>AND('Dry Cleaner'!#REF!,"AAAAAGX/fpY=")</f>
        <v>#REF!</v>
      </c>
      <c r="EV49" t="e">
        <f>AND('Dry Cleaner'!#REF!,"AAAAAGX/fpc=")</f>
        <v>#REF!</v>
      </c>
      <c r="EW49" t="e">
        <f>AND('Dry Cleaner'!#REF!,"AAAAAGX/fpg=")</f>
        <v>#REF!</v>
      </c>
      <c r="EX49" t="e">
        <f>AND('Dry Cleaner'!#REF!,"AAAAAGX/fpk=")</f>
        <v>#REF!</v>
      </c>
      <c r="EY49" t="e">
        <f>AND('Dry Cleaner'!#REF!,"AAAAAGX/fpo=")</f>
        <v>#REF!</v>
      </c>
      <c r="EZ49" t="e">
        <f>AND('Dry Cleaner'!#REF!,"AAAAAGX/fps=")</f>
        <v>#REF!</v>
      </c>
      <c r="FA49" t="e">
        <f>AND('Dry Cleaner'!#REF!,"AAAAAGX/fpw=")</f>
        <v>#REF!</v>
      </c>
      <c r="FB49" t="e">
        <f>AND('Dry Cleaner'!#REF!,"AAAAAGX/fp0=")</f>
        <v>#REF!</v>
      </c>
      <c r="FC49" t="e">
        <f>AND('Dry Cleaner'!#REF!,"AAAAAGX/fp4=")</f>
        <v>#REF!</v>
      </c>
      <c r="FD49" t="e">
        <f>AND('Dry Cleaner'!#REF!,"AAAAAGX/fp8=")</f>
        <v>#REF!</v>
      </c>
      <c r="FE49" t="e">
        <f>AND('Dry Cleaner'!#REF!,"AAAAAGX/fqA=")</f>
        <v>#REF!</v>
      </c>
      <c r="FF49" t="e">
        <f>AND('Dry Cleaner'!#REF!,"AAAAAGX/fqE=")</f>
        <v>#REF!</v>
      </c>
      <c r="FG49" t="e">
        <f>AND('Dry Cleaner'!#REF!,"AAAAAGX/fqI=")</f>
        <v>#REF!</v>
      </c>
      <c r="FH49" t="e">
        <f>AND('Dry Cleaner'!#REF!,"AAAAAGX/fqM=")</f>
        <v>#REF!</v>
      </c>
      <c r="FI49" t="e">
        <f>AND('Dry Cleaner'!#REF!,"AAAAAGX/fqQ=")</f>
        <v>#REF!</v>
      </c>
      <c r="FJ49" t="e">
        <f>AND('Dry Cleaner'!#REF!,"AAAAAGX/fqU=")</f>
        <v>#REF!</v>
      </c>
      <c r="FK49" t="e">
        <f>AND('Dry Cleaner'!#REF!,"AAAAAGX/fqY=")</f>
        <v>#REF!</v>
      </c>
      <c r="FL49" t="e">
        <f>AND('Dry Cleaner'!#REF!,"AAAAAGX/fqc=")</f>
        <v>#REF!</v>
      </c>
      <c r="FM49" t="e">
        <f>AND('Dry Cleaner'!#REF!,"AAAAAGX/fqg=")</f>
        <v>#REF!</v>
      </c>
      <c r="FN49" t="e">
        <f>IF('Dry Cleaner'!#REF!,"AAAAAGX/fqk=",0)</f>
        <v>#REF!</v>
      </c>
      <c r="FO49" t="e">
        <f>AND('Dry Cleaner'!#REF!,"AAAAAGX/fqo=")</f>
        <v>#REF!</v>
      </c>
      <c r="FP49" t="e">
        <f>AND('Dry Cleaner'!#REF!,"AAAAAGX/fqs=")</f>
        <v>#REF!</v>
      </c>
      <c r="FQ49" t="e">
        <f>AND('Dry Cleaner'!#REF!,"AAAAAGX/fqw=")</f>
        <v>#REF!</v>
      </c>
      <c r="FR49" t="e">
        <f>AND('Dry Cleaner'!#REF!,"AAAAAGX/fq0=")</f>
        <v>#REF!</v>
      </c>
      <c r="FS49" t="e">
        <f>AND('Dry Cleaner'!#REF!,"AAAAAGX/fq4=")</f>
        <v>#REF!</v>
      </c>
      <c r="FT49" t="e">
        <f>AND('Dry Cleaner'!#REF!,"AAAAAGX/fq8=")</f>
        <v>#REF!</v>
      </c>
      <c r="FU49" t="e">
        <f>AND('Dry Cleaner'!#REF!,"AAAAAGX/frA=")</f>
        <v>#REF!</v>
      </c>
      <c r="FV49" t="e">
        <f>AND('Dry Cleaner'!#REF!,"AAAAAGX/frE=")</f>
        <v>#REF!</v>
      </c>
      <c r="FW49" t="e">
        <f>AND('Dry Cleaner'!#REF!,"AAAAAGX/frI=")</f>
        <v>#REF!</v>
      </c>
      <c r="FX49" t="e">
        <f>AND('Dry Cleaner'!#REF!,"AAAAAGX/frM=")</f>
        <v>#REF!</v>
      </c>
      <c r="FY49" t="e">
        <f>AND('Dry Cleaner'!#REF!,"AAAAAGX/frQ=")</f>
        <v>#REF!</v>
      </c>
      <c r="FZ49" t="e">
        <f>AND('Dry Cleaner'!#REF!,"AAAAAGX/frU=")</f>
        <v>#REF!</v>
      </c>
      <c r="GA49" t="e">
        <f>AND('Dry Cleaner'!#REF!,"AAAAAGX/frY=")</f>
        <v>#REF!</v>
      </c>
      <c r="GB49" t="e">
        <f>AND('Dry Cleaner'!#REF!,"AAAAAGX/frc=")</f>
        <v>#REF!</v>
      </c>
      <c r="GC49" t="e">
        <f>AND('Dry Cleaner'!#REF!,"AAAAAGX/frg=")</f>
        <v>#REF!</v>
      </c>
      <c r="GD49" t="e">
        <f>AND('Dry Cleaner'!#REF!,"AAAAAGX/frk=")</f>
        <v>#REF!</v>
      </c>
      <c r="GE49" t="e">
        <f>AND('Dry Cleaner'!#REF!,"AAAAAGX/fro=")</f>
        <v>#REF!</v>
      </c>
      <c r="GF49" t="e">
        <f>AND('Dry Cleaner'!#REF!,"AAAAAGX/frs=")</f>
        <v>#REF!</v>
      </c>
      <c r="GG49" t="e">
        <f>AND('Dry Cleaner'!#REF!,"AAAAAGX/frw=")</f>
        <v>#REF!</v>
      </c>
      <c r="GH49" t="e">
        <f>AND('Dry Cleaner'!#REF!,"AAAAAGX/fr0=")</f>
        <v>#REF!</v>
      </c>
      <c r="GI49" t="e">
        <f>AND('Dry Cleaner'!#REF!,"AAAAAGX/fr4=")</f>
        <v>#REF!</v>
      </c>
      <c r="GJ49" t="e">
        <f>AND('Dry Cleaner'!#REF!,"AAAAAGX/fr8=")</f>
        <v>#REF!</v>
      </c>
      <c r="GK49" t="e">
        <f>AND('Dry Cleaner'!#REF!,"AAAAAGX/fsA=")</f>
        <v>#REF!</v>
      </c>
      <c r="GL49" t="e">
        <f>AND('Dry Cleaner'!#REF!,"AAAAAGX/fsE=")</f>
        <v>#REF!</v>
      </c>
      <c r="GM49" t="e">
        <f>AND('Dry Cleaner'!#REF!,"AAAAAGX/fsI=")</f>
        <v>#REF!</v>
      </c>
      <c r="GN49" t="e">
        <f>IF('Dry Cleaner'!#REF!,"AAAAAGX/fsM=",0)</f>
        <v>#REF!</v>
      </c>
      <c r="GO49" t="e">
        <f>AND('Dry Cleaner'!#REF!,"AAAAAGX/fsQ=")</f>
        <v>#REF!</v>
      </c>
      <c r="GP49" t="e">
        <f>AND('Dry Cleaner'!#REF!,"AAAAAGX/fsU=")</f>
        <v>#REF!</v>
      </c>
      <c r="GQ49" t="e">
        <f>AND('Dry Cleaner'!#REF!,"AAAAAGX/fsY=")</f>
        <v>#REF!</v>
      </c>
      <c r="GR49" t="e">
        <f>AND('Dry Cleaner'!#REF!,"AAAAAGX/fsc=")</f>
        <v>#REF!</v>
      </c>
      <c r="GS49" t="e">
        <f>AND('Dry Cleaner'!#REF!,"AAAAAGX/fsg=")</f>
        <v>#REF!</v>
      </c>
      <c r="GT49" t="e">
        <f>AND('Dry Cleaner'!#REF!,"AAAAAGX/fsk=")</f>
        <v>#REF!</v>
      </c>
      <c r="GU49" t="e">
        <f>AND('Dry Cleaner'!#REF!,"AAAAAGX/fso=")</f>
        <v>#REF!</v>
      </c>
      <c r="GV49" t="e">
        <f>AND('Dry Cleaner'!#REF!,"AAAAAGX/fss=")</f>
        <v>#REF!</v>
      </c>
      <c r="GW49" t="e">
        <f>AND('Dry Cleaner'!#REF!,"AAAAAGX/fsw=")</f>
        <v>#REF!</v>
      </c>
      <c r="GX49" t="e">
        <f>AND('Dry Cleaner'!#REF!,"AAAAAGX/fs0=")</f>
        <v>#REF!</v>
      </c>
      <c r="GY49" t="e">
        <f>AND('Dry Cleaner'!#REF!,"AAAAAGX/fs4=")</f>
        <v>#REF!</v>
      </c>
      <c r="GZ49" t="e">
        <f>AND('Dry Cleaner'!#REF!,"AAAAAGX/fs8=")</f>
        <v>#REF!</v>
      </c>
      <c r="HA49" t="e">
        <f>AND('Dry Cleaner'!#REF!,"AAAAAGX/ftA=")</f>
        <v>#REF!</v>
      </c>
      <c r="HB49" t="e">
        <f>AND('Dry Cleaner'!#REF!,"AAAAAGX/ftE=")</f>
        <v>#REF!</v>
      </c>
      <c r="HC49" t="e">
        <f>AND('Dry Cleaner'!#REF!,"AAAAAGX/ftI=")</f>
        <v>#REF!</v>
      </c>
      <c r="HD49" t="e">
        <f>AND('Dry Cleaner'!#REF!,"AAAAAGX/ftM=")</f>
        <v>#REF!</v>
      </c>
      <c r="HE49" t="e">
        <f>AND('Dry Cleaner'!#REF!,"AAAAAGX/ftQ=")</f>
        <v>#REF!</v>
      </c>
      <c r="HF49" t="e">
        <f>AND('Dry Cleaner'!#REF!,"AAAAAGX/ftU=")</f>
        <v>#REF!</v>
      </c>
      <c r="HG49" t="e">
        <f>AND('Dry Cleaner'!#REF!,"AAAAAGX/ftY=")</f>
        <v>#REF!</v>
      </c>
      <c r="HH49" t="e">
        <f>AND('Dry Cleaner'!#REF!,"AAAAAGX/ftc=")</f>
        <v>#REF!</v>
      </c>
      <c r="HI49" t="e">
        <f>AND('Dry Cleaner'!#REF!,"AAAAAGX/ftg=")</f>
        <v>#REF!</v>
      </c>
      <c r="HJ49" t="e">
        <f>AND('Dry Cleaner'!#REF!,"AAAAAGX/ftk=")</f>
        <v>#REF!</v>
      </c>
      <c r="HK49" t="e">
        <f>AND('Dry Cleaner'!#REF!,"AAAAAGX/fto=")</f>
        <v>#REF!</v>
      </c>
      <c r="HL49" t="e">
        <f>AND('Dry Cleaner'!#REF!,"AAAAAGX/fts=")</f>
        <v>#REF!</v>
      </c>
      <c r="HM49" t="e">
        <f>AND('Dry Cleaner'!#REF!,"AAAAAGX/ftw=")</f>
        <v>#REF!</v>
      </c>
      <c r="HN49" t="e">
        <f>IF('Dry Cleaner'!#REF!,"AAAAAGX/ft0=",0)</f>
        <v>#REF!</v>
      </c>
      <c r="HO49" t="e">
        <f>AND('Dry Cleaner'!#REF!,"AAAAAGX/ft4=")</f>
        <v>#REF!</v>
      </c>
      <c r="HP49" t="e">
        <f>AND('Dry Cleaner'!#REF!,"AAAAAGX/ft8=")</f>
        <v>#REF!</v>
      </c>
      <c r="HQ49" t="e">
        <f>AND('Dry Cleaner'!#REF!,"AAAAAGX/fuA=")</f>
        <v>#REF!</v>
      </c>
      <c r="HR49" t="e">
        <f>AND('Dry Cleaner'!#REF!,"AAAAAGX/fuE=")</f>
        <v>#REF!</v>
      </c>
      <c r="HS49" t="e">
        <f>AND('Dry Cleaner'!#REF!,"AAAAAGX/fuI=")</f>
        <v>#REF!</v>
      </c>
      <c r="HT49" t="e">
        <f>AND('Dry Cleaner'!#REF!,"AAAAAGX/fuM=")</f>
        <v>#REF!</v>
      </c>
      <c r="HU49" t="e">
        <f>AND('Dry Cleaner'!#REF!,"AAAAAGX/fuQ=")</f>
        <v>#REF!</v>
      </c>
      <c r="HV49" t="e">
        <f>AND('Dry Cleaner'!#REF!,"AAAAAGX/fuU=")</f>
        <v>#REF!</v>
      </c>
      <c r="HW49" t="e">
        <f>AND('Dry Cleaner'!#REF!,"AAAAAGX/fuY=")</f>
        <v>#REF!</v>
      </c>
      <c r="HX49" t="e">
        <f>AND('Dry Cleaner'!#REF!,"AAAAAGX/fuc=")</f>
        <v>#REF!</v>
      </c>
      <c r="HY49" t="e">
        <f>AND('Dry Cleaner'!#REF!,"AAAAAGX/fug=")</f>
        <v>#REF!</v>
      </c>
      <c r="HZ49" t="e">
        <f>AND('Dry Cleaner'!#REF!,"AAAAAGX/fuk=")</f>
        <v>#REF!</v>
      </c>
      <c r="IA49" t="e">
        <f>AND('Dry Cleaner'!#REF!,"AAAAAGX/fuo=")</f>
        <v>#REF!</v>
      </c>
      <c r="IB49" t="e">
        <f>AND('Dry Cleaner'!#REF!,"AAAAAGX/fus=")</f>
        <v>#REF!</v>
      </c>
      <c r="IC49" t="e">
        <f>AND('Dry Cleaner'!#REF!,"AAAAAGX/fuw=")</f>
        <v>#REF!</v>
      </c>
      <c r="ID49" t="e">
        <f>AND('Dry Cleaner'!#REF!,"AAAAAGX/fu0=")</f>
        <v>#REF!</v>
      </c>
      <c r="IE49" t="e">
        <f>AND('Dry Cleaner'!#REF!,"AAAAAGX/fu4=")</f>
        <v>#REF!</v>
      </c>
      <c r="IF49" t="e">
        <f>AND('Dry Cleaner'!#REF!,"AAAAAGX/fu8=")</f>
        <v>#REF!</v>
      </c>
      <c r="IG49" t="e">
        <f>AND('Dry Cleaner'!#REF!,"AAAAAGX/fvA=")</f>
        <v>#REF!</v>
      </c>
      <c r="IH49" t="e">
        <f>AND('Dry Cleaner'!#REF!,"AAAAAGX/fvE=")</f>
        <v>#REF!</v>
      </c>
      <c r="II49" t="e">
        <f>AND('Dry Cleaner'!#REF!,"AAAAAGX/fvI=")</f>
        <v>#REF!</v>
      </c>
      <c r="IJ49" t="e">
        <f>AND('Dry Cleaner'!#REF!,"AAAAAGX/fvM=")</f>
        <v>#REF!</v>
      </c>
      <c r="IK49" t="e">
        <f>AND('Dry Cleaner'!#REF!,"AAAAAGX/fvQ=")</f>
        <v>#REF!</v>
      </c>
      <c r="IL49" t="e">
        <f>AND('Dry Cleaner'!#REF!,"AAAAAGX/fvU=")</f>
        <v>#REF!</v>
      </c>
      <c r="IM49" t="e">
        <f>AND('Dry Cleaner'!#REF!,"AAAAAGX/fvY=")</f>
        <v>#REF!</v>
      </c>
      <c r="IN49" t="e">
        <f>IF('Dry Cleaner'!#REF!,"AAAAAGX/fvc=",0)</f>
        <v>#REF!</v>
      </c>
      <c r="IO49" t="e">
        <f>AND('Dry Cleaner'!#REF!,"AAAAAGX/fvg=")</f>
        <v>#REF!</v>
      </c>
      <c r="IP49" t="e">
        <f>AND('Dry Cleaner'!#REF!,"AAAAAGX/fvk=")</f>
        <v>#REF!</v>
      </c>
      <c r="IQ49" t="e">
        <f>AND('Dry Cleaner'!#REF!,"AAAAAGX/fvo=")</f>
        <v>#REF!</v>
      </c>
      <c r="IR49" t="e">
        <f>AND('Dry Cleaner'!#REF!,"AAAAAGX/fvs=")</f>
        <v>#REF!</v>
      </c>
      <c r="IS49" t="e">
        <f>AND('Dry Cleaner'!#REF!,"AAAAAGX/fvw=")</f>
        <v>#REF!</v>
      </c>
      <c r="IT49" t="e">
        <f>AND('Dry Cleaner'!#REF!,"AAAAAGX/fv0=")</f>
        <v>#REF!</v>
      </c>
      <c r="IU49" t="e">
        <f>AND('Dry Cleaner'!#REF!,"AAAAAGX/fv4=")</f>
        <v>#REF!</v>
      </c>
      <c r="IV49" t="e">
        <f>AND('Dry Cleaner'!#REF!,"AAAAAGX/fv8=")</f>
        <v>#REF!</v>
      </c>
    </row>
    <row r="50" spans="1:256">
      <c r="A50" t="e">
        <f>AND('Dry Cleaner'!#REF!,"AAAAAH/frgA=")</f>
        <v>#REF!</v>
      </c>
      <c r="B50" t="e">
        <f>AND('Dry Cleaner'!#REF!,"AAAAAH/frgE=")</f>
        <v>#REF!</v>
      </c>
      <c r="C50" t="e">
        <f>AND('Dry Cleaner'!#REF!,"AAAAAH/frgI=")</f>
        <v>#REF!</v>
      </c>
      <c r="D50" t="e">
        <f>AND('Dry Cleaner'!#REF!,"AAAAAH/frgM=")</f>
        <v>#REF!</v>
      </c>
      <c r="E50" t="e">
        <f>AND('Dry Cleaner'!#REF!,"AAAAAH/frgQ=")</f>
        <v>#REF!</v>
      </c>
      <c r="F50" t="e">
        <f>AND('Dry Cleaner'!#REF!,"AAAAAH/frgU=")</f>
        <v>#REF!</v>
      </c>
      <c r="G50" t="e">
        <f>AND('Dry Cleaner'!#REF!,"AAAAAH/frgY=")</f>
        <v>#REF!</v>
      </c>
      <c r="H50" t="e">
        <f>AND('Dry Cleaner'!#REF!,"AAAAAH/frgc=")</f>
        <v>#REF!</v>
      </c>
      <c r="I50" t="e">
        <f>AND('Dry Cleaner'!#REF!,"AAAAAH/frgg=")</f>
        <v>#REF!</v>
      </c>
      <c r="J50" t="e">
        <f>AND('Dry Cleaner'!#REF!,"AAAAAH/frgk=")</f>
        <v>#REF!</v>
      </c>
      <c r="K50" t="e">
        <f>AND('Dry Cleaner'!#REF!,"AAAAAH/frgo=")</f>
        <v>#REF!</v>
      </c>
      <c r="L50" t="e">
        <f>AND('Dry Cleaner'!#REF!,"AAAAAH/frgs=")</f>
        <v>#REF!</v>
      </c>
      <c r="M50" t="e">
        <f>AND('Dry Cleaner'!#REF!,"AAAAAH/frgw=")</f>
        <v>#REF!</v>
      </c>
      <c r="N50" t="e">
        <f>AND('Dry Cleaner'!#REF!,"AAAAAH/frg0=")</f>
        <v>#REF!</v>
      </c>
      <c r="O50" t="e">
        <f>AND('Dry Cleaner'!#REF!,"AAAAAH/frg4=")</f>
        <v>#REF!</v>
      </c>
      <c r="P50" t="e">
        <f>AND('Dry Cleaner'!#REF!,"AAAAAH/frg8=")</f>
        <v>#REF!</v>
      </c>
      <c r="Q50" t="e">
        <f>AND('Dry Cleaner'!#REF!,"AAAAAH/frhA=")</f>
        <v>#REF!</v>
      </c>
      <c r="R50" t="e">
        <f>IF('Dry Cleaner'!#REF!,"AAAAAH/frhE=",0)</f>
        <v>#REF!</v>
      </c>
      <c r="S50" t="e">
        <f>AND('Dry Cleaner'!#REF!,"AAAAAH/frhI=")</f>
        <v>#REF!</v>
      </c>
      <c r="T50" t="e">
        <f>AND('Dry Cleaner'!#REF!,"AAAAAH/frhM=")</f>
        <v>#REF!</v>
      </c>
      <c r="U50" t="e">
        <f>AND('Dry Cleaner'!#REF!,"AAAAAH/frhQ=")</f>
        <v>#REF!</v>
      </c>
      <c r="V50" t="e">
        <f>AND('Dry Cleaner'!#REF!,"AAAAAH/frhU=")</f>
        <v>#REF!</v>
      </c>
      <c r="W50" t="e">
        <f>AND('Dry Cleaner'!#REF!,"AAAAAH/frhY=")</f>
        <v>#REF!</v>
      </c>
      <c r="X50" t="e">
        <f>AND('Dry Cleaner'!#REF!,"AAAAAH/frhc=")</f>
        <v>#REF!</v>
      </c>
      <c r="Y50" t="e">
        <f>AND('Dry Cleaner'!#REF!,"AAAAAH/frhg=")</f>
        <v>#REF!</v>
      </c>
      <c r="Z50" t="e">
        <f>AND('Dry Cleaner'!#REF!,"AAAAAH/frhk=")</f>
        <v>#REF!</v>
      </c>
      <c r="AA50" t="e">
        <f>AND('Dry Cleaner'!#REF!,"AAAAAH/frho=")</f>
        <v>#REF!</v>
      </c>
      <c r="AB50" t="e">
        <f>AND('Dry Cleaner'!#REF!,"AAAAAH/frhs=")</f>
        <v>#REF!</v>
      </c>
      <c r="AC50" t="e">
        <f>AND('Dry Cleaner'!#REF!,"AAAAAH/frhw=")</f>
        <v>#REF!</v>
      </c>
      <c r="AD50" t="e">
        <f>AND('Dry Cleaner'!#REF!,"AAAAAH/frh0=")</f>
        <v>#REF!</v>
      </c>
      <c r="AE50" t="e">
        <f>AND('Dry Cleaner'!#REF!,"AAAAAH/frh4=")</f>
        <v>#REF!</v>
      </c>
      <c r="AF50" t="e">
        <f>AND('Dry Cleaner'!#REF!,"AAAAAH/frh8=")</f>
        <v>#REF!</v>
      </c>
      <c r="AG50" t="e">
        <f>AND('Dry Cleaner'!#REF!,"AAAAAH/friA=")</f>
        <v>#REF!</v>
      </c>
      <c r="AH50" t="e">
        <f>AND('Dry Cleaner'!#REF!,"AAAAAH/friE=")</f>
        <v>#REF!</v>
      </c>
      <c r="AI50" t="e">
        <f>AND('Dry Cleaner'!#REF!,"AAAAAH/friI=")</f>
        <v>#REF!</v>
      </c>
      <c r="AJ50" t="e">
        <f>AND('Dry Cleaner'!#REF!,"AAAAAH/friM=")</f>
        <v>#REF!</v>
      </c>
      <c r="AK50" t="e">
        <f>AND('Dry Cleaner'!#REF!,"AAAAAH/friQ=")</f>
        <v>#REF!</v>
      </c>
      <c r="AL50" t="e">
        <f>AND('Dry Cleaner'!#REF!,"AAAAAH/friU=")</f>
        <v>#REF!</v>
      </c>
      <c r="AM50" t="e">
        <f>AND('Dry Cleaner'!#REF!,"AAAAAH/friY=")</f>
        <v>#REF!</v>
      </c>
      <c r="AN50" t="e">
        <f>AND('Dry Cleaner'!#REF!,"AAAAAH/fric=")</f>
        <v>#REF!</v>
      </c>
      <c r="AO50" t="e">
        <f>AND('Dry Cleaner'!#REF!,"AAAAAH/frig=")</f>
        <v>#REF!</v>
      </c>
      <c r="AP50" t="e">
        <f>AND('Dry Cleaner'!#REF!,"AAAAAH/frik=")</f>
        <v>#REF!</v>
      </c>
      <c r="AQ50" t="e">
        <f>AND('Dry Cleaner'!#REF!,"AAAAAH/frio=")</f>
        <v>#REF!</v>
      </c>
      <c r="AR50" t="e">
        <f>IF('Dry Cleaner'!#REF!,"AAAAAH/fris=",0)</f>
        <v>#REF!</v>
      </c>
      <c r="AS50" t="e">
        <f>AND('Dry Cleaner'!#REF!,"AAAAAH/friw=")</f>
        <v>#REF!</v>
      </c>
      <c r="AT50" t="e">
        <f>AND('Dry Cleaner'!#REF!,"AAAAAH/fri0=")</f>
        <v>#REF!</v>
      </c>
      <c r="AU50" t="e">
        <f>AND('Dry Cleaner'!#REF!,"AAAAAH/fri4=")</f>
        <v>#REF!</v>
      </c>
      <c r="AV50" t="e">
        <f>AND('Dry Cleaner'!#REF!,"AAAAAH/fri8=")</f>
        <v>#REF!</v>
      </c>
      <c r="AW50" t="e">
        <f>AND('Dry Cleaner'!#REF!,"AAAAAH/frjA=")</f>
        <v>#REF!</v>
      </c>
      <c r="AX50" t="e">
        <f>AND('Dry Cleaner'!#REF!,"AAAAAH/frjE=")</f>
        <v>#REF!</v>
      </c>
      <c r="AY50" t="e">
        <f>AND('Dry Cleaner'!#REF!,"AAAAAH/frjI=")</f>
        <v>#REF!</v>
      </c>
      <c r="AZ50" t="e">
        <f>AND('Dry Cleaner'!#REF!,"AAAAAH/frjM=")</f>
        <v>#REF!</v>
      </c>
      <c r="BA50" t="e">
        <f>AND('Dry Cleaner'!#REF!,"AAAAAH/frjQ=")</f>
        <v>#REF!</v>
      </c>
      <c r="BB50" t="e">
        <f>AND('Dry Cleaner'!#REF!,"AAAAAH/frjU=")</f>
        <v>#REF!</v>
      </c>
      <c r="BC50" t="e">
        <f>AND('Dry Cleaner'!#REF!,"AAAAAH/frjY=")</f>
        <v>#REF!</v>
      </c>
      <c r="BD50" t="e">
        <f>AND('Dry Cleaner'!#REF!,"AAAAAH/frjc=")</f>
        <v>#REF!</v>
      </c>
      <c r="BE50" t="e">
        <f>AND('Dry Cleaner'!#REF!,"AAAAAH/frjg=")</f>
        <v>#REF!</v>
      </c>
      <c r="BF50" t="e">
        <f>AND('Dry Cleaner'!#REF!,"AAAAAH/frjk=")</f>
        <v>#REF!</v>
      </c>
      <c r="BG50" t="e">
        <f>AND('Dry Cleaner'!#REF!,"AAAAAH/frjo=")</f>
        <v>#REF!</v>
      </c>
      <c r="BH50" t="e">
        <f>AND('Dry Cleaner'!#REF!,"AAAAAH/frjs=")</f>
        <v>#REF!</v>
      </c>
      <c r="BI50" t="e">
        <f>AND('Dry Cleaner'!#REF!,"AAAAAH/frjw=")</f>
        <v>#REF!</v>
      </c>
      <c r="BJ50" t="e">
        <f>AND('Dry Cleaner'!#REF!,"AAAAAH/frj0=")</f>
        <v>#REF!</v>
      </c>
      <c r="BK50" t="e">
        <f>AND('Dry Cleaner'!#REF!,"AAAAAH/frj4=")</f>
        <v>#REF!</v>
      </c>
      <c r="BL50" t="e">
        <f>AND('Dry Cleaner'!#REF!,"AAAAAH/frj8=")</f>
        <v>#REF!</v>
      </c>
      <c r="BM50" t="e">
        <f>AND('Dry Cleaner'!#REF!,"AAAAAH/frkA=")</f>
        <v>#REF!</v>
      </c>
      <c r="BN50" t="e">
        <f>AND('Dry Cleaner'!#REF!,"AAAAAH/frkE=")</f>
        <v>#REF!</v>
      </c>
      <c r="BO50" t="e">
        <f>AND('Dry Cleaner'!#REF!,"AAAAAH/frkI=")</f>
        <v>#REF!</v>
      </c>
      <c r="BP50" t="e">
        <f>AND('Dry Cleaner'!#REF!,"AAAAAH/frkM=")</f>
        <v>#REF!</v>
      </c>
      <c r="BQ50" t="e">
        <f>AND('Dry Cleaner'!#REF!,"AAAAAH/frkQ=")</f>
        <v>#REF!</v>
      </c>
      <c r="BR50" t="e">
        <f>IF('Dry Cleaner'!#REF!,"AAAAAH/frkU=",0)</f>
        <v>#REF!</v>
      </c>
      <c r="BS50" t="e">
        <f>AND('Dry Cleaner'!#REF!,"AAAAAH/frkY=")</f>
        <v>#REF!</v>
      </c>
      <c r="BT50" t="e">
        <f>AND('Dry Cleaner'!#REF!,"AAAAAH/frkc=")</f>
        <v>#REF!</v>
      </c>
      <c r="BU50" t="e">
        <f>AND('Dry Cleaner'!#REF!,"AAAAAH/frkg=")</f>
        <v>#REF!</v>
      </c>
      <c r="BV50" t="e">
        <f>AND('Dry Cleaner'!#REF!,"AAAAAH/frkk=")</f>
        <v>#REF!</v>
      </c>
      <c r="BW50" t="e">
        <f>AND('Dry Cleaner'!#REF!,"AAAAAH/frko=")</f>
        <v>#REF!</v>
      </c>
      <c r="BX50" t="e">
        <f>AND('Dry Cleaner'!#REF!,"AAAAAH/frks=")</f>
        <v>#REF!</v>
      </c>
      <c r="BY50" t="e">
        <f>AND('Dry Cleaner'!#REF!,"AAAAAH/frkw=")</f>
        <v>#REF!</v>
      </c>
      <c r="BZ50" t="e">
        <f>AND('Dry Cleaner'!#REF!,"AAAAAH/frk0=")</f>
        <v>#REF!</v>
      </c>
      <c r="CA50" t="e">
        <f>AND('Dry Cleaner'!#REF!,"AAAAAH/frk4=")</f>
        <v>#REF!</v>
      </c>
      <c r="CB50" t="e">
        <f>AND('Dry Cleaner'!#REF!,"AAAAAH/frk8=")</f>
        <v>#REF!</v>
      </c>
      <c r="CC50" t="e">
        <f>AND('Dry Cleaner'!#REF!,"AAAAAH/frlA=")</f>
        <v>#REF!</v>
      </c>
      <c r="CD50" t="e">
        <f>AND('Dry Cleaner'!#REF!,"AAAAAH/frlE=")</f>
        <v>#REF!</v>
      </c>
      <c r="CE50" t="e">
        <f>AND('Dry Cleaner'!#REF!,"AAAAAH/frlI=")</f>
        <v>#REF!</v>
      </c>
      <c r="CF50" t="e">
        <f>AND('Dry Cleaner'!#REF!,"AAAAAH/frlM=")</f>
        <v>#REF!</v>
      </c>
      <c r="CG50" t="e">
        <f>AND('Dry Cleaner'!#REF!,"AAAAAH/frlQ=")</f>
        <v>#REF!</v>
      </c>
      <c r="CH50" t="e">
        <f>AND('Dry Cleaner'!#REF!,"AAAAAH/frlU=")</f>
        <v>#REF!</v>
      </c>
      <c r="CI50" t="e">
        <f>AND('Dry Cleaner'!#REF!,"AAAAAH/frlY=")</f>
        <v>#REF!</v>
      </c>
      <c r="CJ50" t="e">
        <f>AND('Dry Cleaner'!#REF!,"AAAAAH/frlc=")</f>
        <v>#REF!</v>
      </c>
      <c r="CK50" t="e">
        <f>AND('Dry Cleaner'!#REF!,"AAAAAH/frlg=")</f>
        <v>#REF!</v>
      </c>
      <c r="CL50" t="e">
        <f>AND('Dry Cleaner'!#REF!,"AAAAAH/frlk=")</f>
        <v>#REF!</v>
      </c>
      <c r="CM50" t="e">
        <f>AND('Dry Cleaner'!#REF!,"AAAAAH/frlo=")</f>
        <v>#REF!</v>
      </c>
      <c r="CN50" t="e">
        <f>AND('Dry Cleaner'!#REF!,"AAAAAH/frls=")</f>
        <v>#REF!</v>
      </c>
      <c r="CO50" t="e">
        <f>AND('Dry Cleaner'!#REF!,"AAAAAH/frlw=")</f>
        <v>#REF!</v>
      </c>
      <c r="CP50" t="e">
        <f>AND('Dry Cleaner'!#REF!,"AAAAAH/frl0=")</f>
        <v>#REF!</v>
      </c>
      <c r="CQ50" t="e">
        <f>AND('Dry Cleaner'!#REF!,"AAAAAH/frl4=")</f>
        <v>#REF!</v>
      </c>
      <c r="CR50" t="e">
        <f>IF('Dry Cleaner'!#REF!,"AAAAAH/frl8=",0)</f>
        <v>#REF!</v>
      </c>
      <c r="CS50" t="e">
        <f>AND('Dry Cleaner'!#REF!,"AAAAAH/frmA=")</f>
        <v>#REF!</v>
      </c>
      <c r="CT50" t="e">
        <f>AND('Dry Cleaner'!#REF!,"AAAAAH/frmE=")</f>
        <v>#REF!</v>
      </c>
      <c r="CU50" t="e">
        <f>AND('Dry Cleaner'!#REF!,"AAAAAH/frmI=")</f>
        <v>#REF!</v>
      </c>
      <c r="CV50" t="e">
        <f>AND('Dry Cleaner'!#REF!,"AAAAAH/frmM=")</f>
        <v>#REF!</v>
      </c>
      <c r="CW50" t="e">
        <f>AND('Dry Cleaner'!#REF!,"AAAAAH/frmQ=")</f>
        <v>#REF!</v>
      </c>
      <c r="CX50" t="e">
        <f>AND('Dry Cleaner'!#REF!,"AAAAAH/frmU=")</f>
        <v>#REF!</v>
      </c>
      <c r="CY50" t="e">
        <f>AND('Dry Cleaner'!#REF!,"AAAAAH/frmY=")</f>
        <v>#REF!</v>
      </c>
      <c r="CZ50" t="e">
        <f>AND('Dry Cleaner'!#REF!,"AAAAAH/frmc=")</f>
        <v>#REF!</v>
      </c>
      <c r="DA50" t="e">
        <f>AND('Dry Cleaner'!#REF!,"AAAAAH/frmg=")</f>
        <v>#REF!</v>
      </c>
      <c r="DB50" t="e">
        <f>AND('Dry Cleaner'!#REF!,"AAAAAH/frmk=")</f>
        <v>#REF!</v>
      </c>
      <c r="DC50" t="e">
        <f>AND('Dry Cleaner'!#REF!,"AAAAAH/frmo=")</f>
        <v>#REF!</v>
      </c>
      <c r="DD50" t="e">
        <f>AND('Dry Cleaner'!#REF!,"AAAAAH/frms=")</f>
        <v>#REF!</v>
      </c>
      <c r="DE50" t="e">
        <f>AND('Dry Cleaner'!#REF!,"AAAAAH/frmw=")</f>
        <v>#REF!</v>
      </c>
      <c r="DF50" t="e">
        <f>AND('Dry Cleaner'!#REF!,"AAAAAH/frm0=")</f>
        <v>#REF!</v>
      </c>
      <c r="DG50" t="e">
        <f>AND('Dry Cleaner'!#REF!,"AAAAAH/frm4=")</f>
        <v>#REF!</v>
      </c>
      <c r="DH50" t="e">
        <f>AND('Dry Cleaner'!#REF!,"AAAAAH/frm8=")</f>
        <v>#REF!</v>
      </c>
      <c r="DI50" t="e">
        <f>AND('Dry Cleaner'!#REF!,"AAAAAH/frnA=")</f>
        <v>#REF!</v>
      </c>
      <c r="DJ50" t="e">
        <f>AND('Dry Cleaner'!#REF!,"AAAAAH/frnE=")</f>
        <v>#REF!</v>
      </c>
      <c r="DK50" t="e">
        <f>AND('Dry Cleaner'!#REF!,"AAAAAH/frnI=")</f>
        <v>#REF!</v>
      </c>
      <c r="DL50" t="e">
        <f>AND('Dry Cleaner'!#REF!,"AAAAAH/frnM=")</f>
        <v>#REF!</v>
      </c>
      <c r="DM50" t="e">
        <f>AND('Dry Cleaner'!#REF!,"AAAAAH/frnQ=")</f>
        <v>#REF!</v>
      </c>
      <c r="DN50" t="e">
        <f>AND('Dry Cleaner'!#REF!,"AAAAAH/frnU=")</f>
        <v>#REF!</v>
      </c>
      <c r="DO50" t="e">
        <f>AND('Dry Cleaner'!#REF!,"AAAAAH/frnY=")</f>
        <v>#REF!</v>
      </c>
      <c r="DP50" t="e">
        <f>AND('Dry Cleaner'!#REF!,"AAAAAH/frnc=")</f>
        <v>#REF!</v>
      </c>
      <c r="DQ50" t="e">
        <f>AND('Dry Cleaner'!#REF!,"AAAAAH/frng=")</f>
        <v>#REF!</v>
      </c>
      <c r="DR50" t="e">
        <f>IF('Dry Cleaner'!#REF!,"AAAAAH/frnk=",0)</f>
        <v>#REF!</v>
      </c>
      <c r="DS50" t="e">
        <f>IF('Dry Cleaner'!#REF!,"AAAAAH/frno=",0)</f>
        <v>#REF!</v>
      </c>
      <c r="DT50" t="e">
        <f>IF('Dry Cleaner'!#REF!,"AAAAAH/frns=",0)</f>
        <v>#REF!</v>
      </c>
      <c r="DU50">
        <f>IF('Dry Cleaner'!A:A,"AAAAAH/frnw=",0)</f>
        <v>0</v>
      </c>
      <c r="DV50">
        <f>IF('Dry Cleaner'!B:B,"AAAAAH/frn0=",0)</f>
        <v>0</v>
      </c>
      <c r="DW50">
        <f>IF('Dry Cleaner'!C:C,"AAAAAH/frn4=",0)</f>
        <v>0</v>
      </c>
      <c r="DX50">
        <f>IF('Dry Cleaner'!D:D,"AAAAAH/frn8=",0)</f>
        <v>0</v>
      </c>
      <c r="DY50">
        <f>IF('Dry Cleaner'!E:E,"AAAAAH/froA=",0)</f>
        <v>0</v>
      </c>
      <c r="DZ50">
        <f>IF('Dry Cleaner'!F:F,"AAAAAH/froE=",0)</f>
        <v>0</v>
      </c>
      <c r="EA50">
        <f>IF('Dry Cleaner'!G:G,"AAAAAH/froI=",0)</f>
        <v>0</v>
      </c>
      <c r="EB50">
        <f>IF('Dry Cleaner'!H:H,"AAAAAH/froM=",0)</f>
        <v>0</v>
      </c>
      <c r="EC50">
        <f>IF('Dry Cleaner'!I:I,"AAAAAH/froQ=",0)</f>
        <v>0</v>
      </c>
      <c r="ED50">
        <f>IF('Dry Cleaner'!J:J,"AAAAAH/froU=",0)</f>
        <v>0</v>
      </c>
      <c r="EE50">
        <f>IF('Dry Cleaner'!K:K,"AAAAAH/froY=",0)</f>
        <v>0</v>
      </c>
      <c r="EF50">
        <f>IF('Dry Cleaner'!L:L,"AAAAAH/froc=",0)</f>
        <v>0</v>
      </c>
      <c r="EG50">
        <f>IF('Dry Cleaner'!M:M,"AAAAAH/frog=",0)</f>
        <v>0</v>
      </c>
      <c r="EH50">
        <f>IF('Dry Cleaner'!N:N,"AAAAAH/frok=",0)</f>
        <v>0</v>
      </c>
      <c r="EI50">
        <f>IF('Dry Cleaner'!O:O,"AAAAAH/froo=",0)</f>
        <v>0</v>
      </c>
      <c r="EJ50">
        <f>IF('Dry Cleaner'!P:P,"AAAAAH/fros=",0)</f>
        <v>0</v>
      </c>
      <c r="EK50">
        <f>IF('Dry Cleaner'!Q:Q,"AAAAAH/frow=",0)</f>
        <v>0</v>
      </c>
      <c r="EL50">
        <f>IF('Dry Cleaner'!R:R,"AAAAAH/fro0=",0)</f>
        <v>0</v>
      </c>
      <c r="EM50">
        <f>IF('Dry Cleaner'!S:S,"AAAAAH/fro4=",0)</f>
        <v>0</v>
      </c>
      <c r="EN50">
        <f>IF('Dry Cleaner'!T:T,"AAAAAH/fro8=",0)</f>
        <v>0</v>
      </c>
      <c r="EO50">
        <f>IF('Dry Cleaner'!U:U,"AAAAAH/frpA=",0)</f>
        <v>0</v>
      </c>
      <c r="EP50">
        <f>IF('Dry Cleaner'!V:V,"AAAAAH/frpE=",0)</f>
        <v>0</v>
      </c>
      <c r="EQ50">
        <f>IF('Dry Cleaner'!W:W,"AAAAAH/frpI=",0)</f>
        <v>0</v>
      </c>
      <c r="ER50">
        <f>IF('Dry Cleaner'!X:X,"AAAAAH/frpM=",0)</f>
        <v>0</v>
      </c>
      <c r="ES50">
        <f>IF('Dry Cleaner'!Y:Y,"AAAAAH/frpQ=",0)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17</v>
      </c>
      <c r="GN94" t="e">
        <f>IF("N",[0]!something,"AAAAAH/l/sM=")</f>
        <v>#VALUE!</v>
      </c>
      <c r="GO94" t="e">
        <f>IF("N",[0]!something,"AAAAAH/l/sQ=")</f>
        <v>#VALUE!</v>
      </c>
      <c r="GP94" t="e">
        <f>IF("N",'Dry Cleaner'!_xlnm.Print_Area,"AAAAAH/l/sU=")</f>
        <v>#VALUE!</v>
      </c>
      <c r="GQ94" t="e">
        <f>IF("N",[0]!something,"AAAAAH/l/sY=")</f>
        <v>#VALUE!</v>
      </c>
      <c r="GR94" t="e">
        <f>IF("N",[0]!something,"AAAAAH/l/sc=")</f>
        <v>#VALUE!</v>
      </c>
      <c r="GS94" t="e">
        <f>IF("N",Boiler!_xlnm.Print_Area,"AAAAAH/l/sg=")</f>
        <v>#VALUE!</v>
      </c>
      <c r="GT94" t="e">
        <f>IF("N",Inputs!somethingelse,"AAAAAH/l/sk=")</f>
        <v>#VALUE!</v>
      </c>
      <c r="GU94" t="e">
        <f>IF("N",[0]!something,"AAAAAH/l/so=")</f>
        <v>#VALUE!</v>
      </c>
      <c r="GV94" t="e">
        <f>IF("N",[0]!something,"AAAAAH/l/ss=")</f>
        <v>#VALUE!</v>
      </c>
      <c r="GW94" t="e">
        <f>IF("N",[0]!something,"AAAAAH/l/sw=")</f>
        <v>#VALUE!</v>
      </c>
      <c r="GX94" t="e">
        <f>IF("N",[0]!something,"AAAAAH/l/s0=")</f>
        <v>#VALUE!</v>
      </c>
      <c r="GY94" t="e">
        <f>IF("N",[0]!something,"AAAAAH/l/s4=")</f>
        <v>#VALUE!</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O57"/>
  <sheetViews>
    <sheetView tabSelected="1" workbookViewId="0">
      <selection activeCell="A3" sqref="A3"/>
    </sheetView>
  </sheetViews>
  <sheetFormatPr defaultColWidth="8.85546875" defaultRowHeight="12.75"/>
  <cols>
    <col min="1" max="1" width="14.42578125" customWidth="1"/>
    <col min="2" max="2" width="14.28515625" customWidth="1"/>
  </cols>
  <sheetData>
    <row r="1" spans="1:15" ht="20.25">
      <c r="A1" s="138" t="s">
        <v>82</v>
      </c>
      <c r="B1" s="138"/>
      <c r="C1" s="138"/>
      <c r="D1" s="138"/>
      <c r="E1" s="138"/>
      <c r="F1" s="138"/>
      <c r="G1" s="138"/>
      <c r="H1" s="138"/>
      <c r="I1" s="138"/>
      <c r="J1" s="138"/>
      <c r="K1" s="138"/>
      <c r="L1" s="138"/>
      <c r="M1" s="138"/>
      <c r="N1" s="24"/>
      <c r="O1" s="24"/>
    </row>
    <row r="2" spans="1:15">
      <c r="A2" s="140">
        <v>42086</v>
      </c>
      <c r="B2" s="140"/>
      <c r="C2" s="140"/>
      <c r="D2" s="140"/>
      <c r="E2" s="140"/>
      <c r="F2" s="140"/>
      <c r="G2" s="140"/>
      <c r="H2" s="140"/>
      <c r="I2" s="140"/>
      <c r="J2" s="140"/>
      <c r="K2" s="140"/>
      <c r="L2" s="140"/>
      <c r="M2" s="140"/>
      <c r="N2" s="25"/>
      <c r="O2" s="25"/>
    </row>
    <row r="4" spans="1:15" ht="15.75">
      <c r="B4" s="32" t="s">
        <v>57</v>
      </c>
    </row>
    <row r="5" spans="1:15">
      <c r="B5" s="26">
        <f>Inputs!D22</f>
        <v>30</v>
      </c>
      <c r="C5" s="5" t="s">
        <v>20</v>
      </c>
      <c r="I5" s="7" t="s">
        <v>8</v>
      </c>
    </row>
    <row r="6" spans="1:15">
      <c r="I6" s="2" t="s">
        <v>6</v>
      </c>
    </row>
    <row r="7" spans="1:15" s="34" customFormat="1" ht="12.75" customHeight="1" thickBot="1">
      <c r="B7" s="55"/>
      <c r="C7" s="55"/>
      <c r="D7" s="55"/>
      <c r="E7" s="55"/>
      <c r="F7" s="55"/>
      <c r="G7" s="55"/>
      <c r="H7" s="55" t="s">
        <v>26</v>
      </c>
      <c r="I7" s="55"/>
      <c r="J7" s="55"/>
      <c r="K7" s="51"/>
      <c r="L7" s="51"/>
      <c r="M7" s="51"/>
      <c r="N7" s="51"/>
    </row>
    <row r="8" spans="1:15" s="34" customFormat="1" ht="16.5" thickTop="1">
      <c r="A8" s="51"/>
      <c r="B8" s="58" t="s">
        <v>45</v>
      </c>
      <c r="C8" s="58"/>
      <c r="D8" s="21"/>
      <c r="E8" s="79" t="s">
        <v>0</v>
      </c>
      <c r="F8" s="80" t="s">
        <v>22</v>
      </c>
      <c r="G8" s="80" t="s">
        <v>21</v>
      </c>
      <c r="H8" s="80" t="s">
        <v>23</v>
      </c>
      <c r="I8" s="80" t="s">
        <v>24</v>
      </c>
      <c r="J8" s="80" t="s">
        <v>1</v>
      </c>
      <c r="K8" s="81" t="s">
        <v>4</v>
      </c>
      <c r="L8" s="51"/>
      <c r="M8" s="51"/>
      <c r="N8" s="51"/>
      <c r="O8" s="51"/>
    </row>
    <row r="9" spans="1:15" s="34" customFormat="1" ht="15" customHeight="1" thickBot="1">
      <c r="A9" s="51"/>
      <c r="B9" s="21" t="s">
        <v>26</v>
      </c>
      <c r="C9" s="21"/>
      <c r="D9" s="21"/>
      <c r="E9" s="85">
        <f t="shared" ref="E9:K9" si="0">MAX(E17,E33,E49)</f>
        <v>0.28721311475409839</v>
      </c>
      <c r="F9" s="86">
        <f t="shared" si="0"/>
        <v>1.0052459016393442</v>
      </c>
      <c r="G9" s="86">
        <f t="shared" si="0"/>
        <v>1.0052459016393442</v>
      </c>
      <c r="H9" s="86">
        <f t="shared" si="0"/>
        <v>2.1540983606557376</v>
      </c>
      <c r="I9" s="86">
        <f t="shared" si="0"/>
        <v>18.668852459016392</v>
      </c>
      <c r="J9" s="86">
        <f t="shared" si="0"/>
        <v>10.821176470588236</v>
      </c>
      <c r="K9" s="87">
        <f t="shared" si="0"/>
        <v>1.4360655737704917</v>
      </c>
      <c r="L9" s="51"/>
      <c r="M9" s="51"/>
      <c r="N9" s="51"/>
      <c r="O9" s="51"/>
    </row>
    <row r="10" spans="1:15" ht="14.25" thickTop="1" thickBot="1"/>
    <row r="11" spans="1:15" ht="13.5" thickTop="1">
      <c r="A11" s="6"/>
      <c r="B11" s="6"/>
      <c r="C11" s="6"/>
      <c r="D11" s="6"/>
      <c r="E11" s="6"/>
      <c r="F11" s="6"/>
      <c r="G11" s="6"/>
      <c r="H11" s="6"/>
      <c r="I11" s="6"/>
      <c r="J11" s="6"/>
      <c r="K11" s="6"/>
      <c r="L11" s="6"/>
    </row>
    <row r="12" spans="1:15" ht="13.5" thickBot="1">
      <c r="A12" s="1" t="s">
        <v>33</v>
      </c>
      <c r="B12" s="1" t="s">
        <v>5</v>
      </c>
      <c r="D12" s="53" t="s">
        <v>34</v>
      </c>
      <c r="E12" s="26" t="str">
        <f>Inputs!D24</f>
        <v>Y</v>
      </c>
    </row>
    <row r="13" spans="1:15" s="34" customFormat="1" ht="12.75" customHeight="1" thickTop="1">
      <c r="B13" s="64"/>
      <c r="C13" s="65"/>
      <c r="D13" s="65"/>
      <c r="E13" s="66"/>
      <c r="F13" s="65"/>
      <c r="G13" s="65"/>
      <c r="H13" s="65" t="s">
        <v>2</v>
      </c>
      <c r="I13" s="65"/>
      <c r="J13" s="65"/>
      <c r="K13" s="69"/>
      <c r="L13" s="51"/>
      <c r="M13" s="51"/>
      <c r="N13" s="51"/>
    </row>
    <row r="14" spans="1:15" s="34" customFormat="1" ht="15.75">
      <c r="A14" s="51"/>
      <c r="B14" s="27"/>
      <c r="C14" s="21"/>
      <c r="D14" s="21"/>
      <c r="E14" s="70" t="s">
        <v>0</v>
      </c>
      <c r="F14" s="59" t="s">
        <v>29</v>
      </c>
      <c r="G14" s="59" t="s">
        <v>40</v>
      </c>
      <c r="H14" s="59" t="s">
        <v>23</v>
      </c>
      <c r="I14" s="59" t="s">
        <v>24</v>
      </c>
      <c r="J14" s="59" t="s">
        <v>1</v>
      </c>
      <c r="K14" s="71" t="s">
        <v>4</v>
      </c>
      <c r="L14" s="51"/>
      <c r="M14" s="51"/>
      <c r="N14" s="51"/>
      <c r="O14" s="51"/>
    </row>
    <row r="15" spans="1:15" s="34" customFormat="1" ht="15" customHeight="1" thickBot="1">
      <c r="A15" s="51"/>
      <c r="B15" s="72" t="s">
        <v>41</v>
      </c>
      <c r="C15" s="73"/>
      <c r="D15" s="73"/>
      <c r="E15" s="74">
        <v>1.9</v>
      </c>
      <c r="F15" s="75">
        <v>7.6</v>
      </c>
      <c r="G15" s="75">
        <v>7.6</v>
      </c>
      <c r="H15" s="76">
        <v>0.6</v>
      </c>
      <c r="I15" s="35">
        <v>100</v>
      </c>
      <c r="J15" s="76">
        <v>84</v>
      </c>
      <c r="K15" s="77">
        <v>5.5</v>
      </c>
      <c r="L15" s="51"/>
      <c r="M15" s="51"/>
      <c r="N15" s="51"/>
      <c r="O15" s="51"/>
    </row>
    <row r="16" spans="1:15" s="34" customFormat="1">
      <c r="A16" s="51"/>
      <c r="B16" s="27"/>
      <c r="C16" s="21"/>
      <c r="D16" s="21"/>
      <c r="E16" s="67"/>
      <c r="F16" s="57"/>
      <c r="G16" s="57"/>
      <c r="H16" s="56"/>
      <c r="I16" s="56"/>
      <c r="J16" s="56"/>
      <c r="K16" s="60"/>
      <c r="L16" s="51"/>
      <c r="M16" s="51"/>
      <c r="N16" s="51"/>
      <c r="O16" s="51"/>
    </row>
    <row r="17" spans="1:15" s="33" customFormat="1">
      <c r="A17" s="52"/>
      <c r="B17" s="27" t="s">
        <v>35</v>
      </c>
      <c r="C17" s="58"/>
      <c r="D17" s="58"/>
      <c r="E17" s="82">
        <f>IF($E$12="Y",$B$5/1020*E15*8760/2000,0)</f>
        <v>0.24476470588235294</v>
      </c>
      <c r="F17" s="83">
        <f t="shared" ref="F17:K17" si="1">IF($E$12="Y",$B$5/1020*F15*8760/2000,0)</f>
        <v>0.97905882352941176</v>
      </c>
      <c r="G17" s="83">
        <f t="shared" si="1"/>
        <v>0.97905882352941176</v>
      </c>
      <c r="H17" s="83">
        <f t="shared" si="1"/>
        <v>7.7294117647058833E-2</v>
      </c>
      <c r="I17" s="83">
        <f t="shared" si="1"/>
        <v>12.882352941176471</v>
      </c>
      <c r="J17" s="83">
        <f t="shared" si="1"/>
        <v>10.821176470588236</v>
      </c>
      <c r="K17" s="84">
        <f t="shared" si="1"/>
        <v>0.70852941176470596</v>
      </c>
      <c r="L17" s="52"/>
      <c r="M17" s="52"/>
      <c r="N17" s="52"/>
      <c r="O17" s="52"/>
    </row>
    <row r="18" spans="1:15" s="34" customFormat="1" ht="13.5" thickBot="1">
      <c r="A18" s="51"/>
      <c r="B18" s="36"/>
      <c r="C18" s="49"/>
      <c r="D18" s="49"/>
      <c r="E18" s="68"/>
      <c r="F18" s="61"/>
      <c r="G18" s="61"/>
      <c r="H18" s="62" t="s">
        <v>26</v>
      </c>
      <c r="I18" s="62"/>
      <c r="J18" s="62"/>
      <c r="K18" s="63"/>
      <c r="L18" s="51"/>
      <c r="M18" s="51"/>
      <c r="N18" s="51"/>
      <c r="O18" s="51"/>
    </row>
    <row r="19" spans="1:15" s="34" customFormat="1" thickTop="1">
      <c r="B19" s="52" t="s">
        <v>28</v>
      </c>
      <c r="C19" s="51"/>
      <c r="D19" s="51"/>
      <c r="E19" s="54"/>
      <c r="F19" s="55"/>
      <c r="G19" s="55"/>
      <c r="H19" s="55"/>
      <c r="I19" s="55"/>
      <c r="J19" s="55"/>
      <c r="K19" s="55"/>
      <c r="L19" s="51"/>
      <c r="M19" s="51"/>
      <c r="N19" s="51"/>
      <c r="O19" s="51"/>
    </row>
    <row r="20" spans="1:15" s="34" customFormat="1" ht="12">
      <c r="B20" s="51" t="s">
        <v>36</v>
      </c>
      <c r="C20" s="51"/>
      <c r="D20" s="51"/>
      <c r="E20" s="54"/>
      <c r="F20" s="55"/>
      <c r="G20" s="55"/>
      <c r="H20" s="55"/>
      <c r="I20" s="55"/>
      <c r="J20" s="55"/>
      <c r="K20" s="55"/>
      <c r="L20" s="51"/>
      <c r="M20" s="51"/>
      <c r="N20" s="51"/>
      <c r="O20" s="51"/>
    </row>
    <row r="21" spans="1:15" s="34" customFormat="1" ht="13.5">
      <c r="B21" s="34" t="s">
        <v>37</v>
      </c>
      <c r="K21" s="51"/>
      <c r="L21" s="51"/>
      <c r="M21" s="51"/>
      <c r="N21" s="51"/>
    </row>
    <row r="22" spans="1:15" s="34" customFormat="1" ht="13.5">
      <c r="B22" s="34" t="s">
        <v>38</v>
      </c>
    </row>
    <row r="23" spans="1:15" s="34" customFormat="1" ht="12"/>
    <row r="24" spans="1:15" s="34" customFormat="1" ht="12">
      <c r="B24" s="33" t="s">
        <v>27</v>
      </c>
    </row>
    <row r="25" spans="1:15" s="34" customFormat="1" ht="12">
      <c r="B25" s="34" t="s">
        <v>39</v>
      </c>
    </row>
    <row r="26" spans="1:15" s="34" customFormat="1" ht="12"/>
    <row r="28" spans="1:15" ht="13.5" thickBot="1">
      <c r="A28" s="1" t="s">
        <v>33</v>
      </c>
      <c r="B28" s="1" t="s">
        <v>42</v>
      </c>
      <c r="D28" s="53" t="s">
        <v>34</v>
      </c>
      <c r="E28" s="26" t="str">
        <f>Inputs!D25</f>
        <v>Y</v>
      </c>
      <c r="G28" s="5" t="s">
        <v>43</v>
      </c>
      <c r="I28" s="78">
        <f>Inputs!F25</f>
        <v>15</v>
      </c>
      <c r="J28" s="5" t="s">
        <v>7</v>
      </c>
    </row>
    <row r="29" spans="1:15" s="34" customFormat="1" ht="12.75" customHeight="1" thickTop="1">
      <c r="B29" s="64"/>
      <c r="C29" s="65"/>
      <c r="D29" s="65"/>
      <c r="E29" s="66"/>
      <c r="F29" s="65"/>
      <c r="G29" s="65"/>
      <c r="H29" s="65" t="s">
        <v>2</v>
      </c>
      <c r="I29" s="65"/>
      <c r="J29" s="65"/>
      <c r="K29" s="69"/>
      <c r="L29" s="51"/>
      <c r="M29" s="51"/>
      <c r="N29" s="51"/>
    </row>
    <row r="30" spans="1:15" s="34" customFormat="1" ht="15.75">
      <c r="A30" s="51"/>
      <c r="B30" s="27"/>
      <c r="C30" s="21"/>
      <c r="D30" s="21"/>
      <c r="E30" s="70" t="s">
        <v>0</v>
      </c>
      <c r="F30" s="59" t="s">
        <v>29</v>
      </c>
      <c r="G30" s="59" t="s">
        <v>40</v>
      </c>
      <c r="H30" s="59" t="s">
        <v>23</v>
      </c>
      <c r="I30" s="59" t="s">
        <v>24</v>
      </c>
      <c r="J30" s="59" t="s">
        <v>1</v>
      </c>
      <c r="K30" s="71" t="s">
        <v>4</v>
      </c>
      <c r="L30" s="51"/>
      <c r="M30" s="51"/>
      <c r="N30" s="51"/>
      <c r="O30" s="51"/>
    </row>
    <row r="31" spans="1:15" s="34" customFormat="1" ht="15" customHeight="1" thickBot="1">
      <c r="A31" s="51"/>
      <c r="B31" s="72" t="s">
        <v>46</v>
      </c>
      <c r="C31" s="73"/>
      <c r="D31" s="73"/>
      <c r="E31" s="74">
        <v>0.2</v>
      </c>
      <c r="F31" s="75">
        <v>0.7</v>
      </c>
      <c r="G31" s="75">
        <v>0.7</v>
      </c>
      <c r="H31" s="76">
        <f>0.1*I28</f>
        <v>1.5</v>
      </c>
      <c r="I31" s="35">
        <v>13</v>
      </c>
      <c r="J31" s="76">
        <v>7.5</v>
      </c>
      <c r="K31" s="77">
        <v>1</v>
      </c>
      <c r="L31" s="51"/>
      <c r="M31" s="51"/>
      <c r="N31" s="51"/>
      <c r="O31" s="51"/>
    </row>
    <row r="32" spans="1:15" s="34" customFormat="1">
      <c r="A32" s="51"/>
      <c r="B32" s="27"/>
      <c r="C32" s="21"/>
      <c r="D32" s="21"/>
      <c r="E32" s="67"/>
      <c r="F32" s="57"/>
      <c r="G32" s="57"/>
      <c r="H32" s="56"/>
      <c r="I32" s="56"/>
      <c r="J32" s="56"/>
      <c r="K32" s="60"/>
      <c r="L32" s="51"/>
      <c r="M32" s="51"/>
      <c r="N32" s="51"/>
      <c r="O32" s="51"/>
    </row>
    <row r="33" spans="1:15" s="33" customFormat="1">
      <c r="A33" s="52"/>
      <c r="B33" s="27" t="s">
        <v>35</v>
      </c>
      <c r="C33" s="58"/>
      <c r="D33" s="58"/>
      <c r="E33" s="82">
        <f>IF($E$28="Y",$B$5/91.5*E31*8760/2000,0)</f>
        <v>0.28721311475409839</v>
      </c>
      <c r="F33" s="83">
        <f t="shared" ref="F33:K33" si="2">IF($E$28="Y",$B$5/91.5*F31*8760/2000,0)</f>
        <v>1.0052459016393442</v>
      </c>
      <c r="G33" s="83">
        <f t="shared" si="2"/>
        <v>1.0052459016393442</v>
      </c>
      <c r="H33" s="83">
        <f t="shared" si="2"/>
        <v>2.1540983606557376</v>
      </c>
      <c r="I33" s="83">
        <f t="shared" si="2"/>
        <v>18.668852459016392</v>
      </c>
      <c r="J33" s="83">
        <f t="shared" si="2"/>
        <v>10.770491803278686</v>
      </c>
      <c r="K33" s="84">
        <f t="shared" si="2"/>
        <v>1.4360655737704917</v>
      </c>
      <c r="L33" s="52"/>
      <c r="M33" s="52"/>
      <c r="N33" s="52"/>
      <c r="O33" s="52"/>
    </row>
    <row r="34" spans="1:15" s="34" customFormat="1" ht="13.5" thickBot="1">
      <c r="A34" s="51"/>
      <c r="B34" s="36"/>
      <c r="C34" s="49"/>
      <c r="D34" s="49"/>
      <c r="E34" s="68"/>
      <c r="F34" s="61"/>
      <c r="G34" s="61"/>
      <c r="H34" s="62" t="s">
        <v>26</v>
      </c>
      <c r="I34" s="62"/>
      <c r="J34" s="62"/>
      <c r="K34" s="63"/>
      <c r="L34" s="51"/>
      <c r="M34" s="51"/>
      <c r="N34" s="51"/>
      <c r="O34" s="51"/>
    </row>
    <row r="35" spans="1:15" s="34" customFormat="1" thickTop="1">
      <c r="B35" s="52" t="s">
        <v>28</v>
      </c>
      <c r="C35" s="51"/>
      <c r="D35" s="51"/>
      <c r="E35" s="54"/>
      <c r="F35" s="55"/>
      <c r="G35" s="55"/>
      <c r="H35" s="55"/>
      <c r="I35" s="55"/>
      <c r="J35" s="55"/>
      <c r="K35" s="55"/>
      <c r="L35" s="51"/>
      <c r="M35" s="51"/>
      <c r="N35" s="51"/>
      <c r="O35" s="51"/>
    </row>
    <row r="36" spans="1:15" s="34" customFormat="1" ht="12">
      <c r="B36" s="51" t="s">
        <v>65</v>
      </c>
      <c r="C36" s="51"/>
      <c r="D36" s="51"/>
      <c r="E36" s="54"/>
      <c r="F36" s="55"/>
      <c r="G36" s="55"/>
      <c r="H36" s="55"/>
      <c r="I36" s="55"/>
      <c r="J36" s="55"/>
      <c r="K36" s="55"/>
      <c r="L36" s="51"/>
      <c r="M36" s="51"/>
      <c r="N36" s="51"/>
      <c r="O36" s="51"/>
    </row>
    <row r="37" spans="1:15" s="34" customFormat="1" ht="13.5">
      <c r="B37" s="34" t="s">
        <v>37</v>
      </c>
    </row>
    <row r="38" spans="1:15" s="34" customFormat="1" ht="13.5">
      <c r="B38" s="34" t="s">
        <v>38</v>
      </c>
    </row>
    <row r="39" spans="1:15" s="34" customFormat="1" ht="12"/>
    <row r="40" spans="1:15" s="34" customFormat="1" ht="12">
      <c r="B40" s="33" t="s">
        <v>27</v>
      </c>
    </row>
    <row r="41" spans="1:15" s="34" customFormat="1" ht="12">
      <c r="B41" s="34" t="s">
        <v>44</v>
      </c>
    </row>
    <row r="44" spans="1:15" ht="13.5" thickBot="1">
      <c r="A44" s="1" t="s">
        <v>33</v>
      </c>
      <c r="B44" s="1" t="s">
        <v>58</v>
      </c>
      <c r="D44" s="53" t="s">
        <v>34</v>
      </c>
      <c r="E44" s="26" t="str">
        <f>Inputs!D26</f>
        <v>N</v>
      </c>
      <c r="G44" s="5" t="s">
        <v>43</v>
      </c>
      <c r="I44" s="78">
        <v>15</v>
      </c>
      <c r="J44" s="5" t="s">
        <v>7</v>
      </c>
    </row>
    <row r="45" spans="1:15" s="34" customFormat="1" ht="12.75" customHeight="1" thickTop="1">
      <c r="B45" s="64"/>
      <c r="C45" s="65"/>
      <c r="D45" s="65"/>
      <c r="E45" s="66"/>
      <c r="F45" s="65"/>
      <c r="G45" s="65"/>
      <c r="H45" s="65" t="s">
        <v>2</v>
      </c>
      <c r="I45" s="65"/>
      <c r="J45" s="65"/>
      <c r="K45" s="69"/>
      <c r="L45" s="51"/>
      <c r="M45" s="51"/>
      <c r="N45" s="51"/>
    </row>
    <row r="46" spans="1:15" s="34" customFormat="1" ht="15.75">
      <c r="A46" s="51"/>
      <c r="B46" s="27"/>
      <c r="C46" s="21"/>
      <c r="D46" s="21"/>
      <c r="E46" s="70" t="s">
        <v>0</v>
      </c>
      <c r="F46" s="59" t="s">
        <v>29</v>
      </c>
      <c r="G46" s="59" t="s">
        <v>40</v>
      </c>
      <c r="H46" s="59" t="s">
        <v>23</v>
      </c>
      <c r="I46" s="59" t="s">
        <v>24</v>
      </c>
      <c r="J46" s="59" t="s">
        <v>1</v>
      </c>
      <c r="K46" s="71" t="s">
        <v>4</v>
      </c>
      <c r="L46" s="51"/>
      <c r="M46" s="51"/>
      <c r="N46" s="51"/>
      <c r="O46" s="51"/>
    </row>
    <row r="47" spans="1:15" s="34" customFormat="1" ht="15" customHeight="1" thickBot="1">
      <c r="A47" s="51"/>
      <c r="B47" s="72" t="s">
        <v>47</v>
      </c>
      <c r="C47" s="73"/>
      <c r="D47" s="73"/>
      <c r="E47" s="74">
        <v>0.2</v>
      </c>
      <c r="F47" s="75">
        <v>0.8</v>
      </c>
      <c r="G47" s="75">
        <v>0.8</v>
      </c>
      <c r="H47" s="76">
        <f>0.09*I44</f>
        <v>1.3499999999999999</v>
      </c>
      <c r="I47" s="35">
        <v>15</v>
      </c>
      <c r="J47" s="76">
        <v>8.4</v>
      </c>
      <c r="K47" s="77">
        <v>1.1000000000000001</v>
      </c>
      <c r="L47" s="51"/>
      <c r="M47" s="51"/>
      <c r="N47" s="51"/>
      <c r="O47" s="51"/>
    </row>
    <row r="48" spans="1:15" s="34" customFormat="1">
      <c r="A48" s="51"/>
      <c r="B48" s="27"/>
      <c r="C48" s="21"/>
      <c r="D48" s="21"/>
      <c r="E48" s="67"/>
      <c r="F48" s="57"/>
      <c r="G48" s="57"/>
      <c r="H48" s="56"/>
      <c r="I48" s="56"/>
      <c r="J48" s="56"/>
      <c r="K48" s="60"/>
      <c r="L48" s="51"/>
      <c r="M48" s="51"/>
      <c r="N48" s="51"/>
      <c r="O48" s="51"/>
    </row>
    <row r="49" spans="1:15" s="33" customFormat="1">
      <c r="A49" s="52"/>
      <c r="B49" s="27" t="s">
        <v>35</v>
      </c>
      <c r="C49" s="58"/>
      <c r="D49" s="58"/>
      <c r="E49" s="82">
        <f>IF($E$44="Y",$B$5/102*E47*8760/2000,0)</f>
        <v>0</v>
      </c>
      <c r="F49" s="83">
        <f t="shared" ref="F49:K49" si="3">IF($E$44="Y",$B$5/102*F47*8760/2000,0)</f>
        <v>0</v>
      </c>
      <c r="G49" s="83">
        <f t="shared" si="3"/>
        <v>0</v>
      </c>
      <c r="H49" s="83">
        <f t="shared" si="3"/>
        <v>0</v>
      </c>
      <c r="I49" s="83">
        <f t="shared" si="3"/>
        <v>0</v>
      </c>
      <c r="J49" s="83">
        <f t="shared" si="3"/>
        <v>0</v>
      </c>
      <c r="K49" s="84">
        <f t="shared" si="3"/>
        <v>0</v>
      </c>
      <c r="L49" s="52"/>
      <c r="M49" s="52"/>
      <c r="N49" s="52"/>
      <c r="O49" s="52"/>
    </row>
    <row r="50" spans="1:15" s="34" customFormat="1" ht="13.5" thickBot="1">
      <c r="A50" s="51"/>
      <c r="B50" s="36"/>
      <c r="C50" s="49"/>
      <c r="D50" s="49"/>
      <c r="E50" s="68"/>
      <c r="F50" s="61"/>
      <c r="G50" s="61"/>
      <c r="H50" s="62" t="s">
        <v>26</v>
      </c>
      <c r="I50" s="62"/>
      <c r="J50" s="62"/>
      <c r="K50" s="63"/>
      <c r="L50" s="51"/>
      <c r="M50" s="51"/>
      <c r="N50" s="51"/>
      <c r="O50" s="51"/>
    </row>
    <row r="51" spans="1:15" s="34" customFormat="1" thickTop="1">
      <c r="B51" s="52" t="s">
        <v>28</v>
      </c>
      <c r="C51" s="51"/>
      <c r="D51" s="51"/>
      <c r="E51" s="54"/>
      <c r="F51" s="55"/>
      <c r="G51" s="55"/>
      <c r="H51" s="55"/>
      <c r="I51" s="55"/>
      <c r="J51" s="55"/>
      <c r="K51" s="55"/>
      <c r="L51" s="51"/>
      <c r="M51" s="51"/>
      <c r="N51" s="51"/>
      <c r="O51" s="51"/>
    </row>
    <row r="52" spans="1:15" s="34" customFormat="1" ht="12">
      <c r="B52" s="51" t="s">
        <v>65</v>
      </c>
      <c r="C52" s="51"/>
      <c r="D52" s="51"/>
      <c r="E52" s="54"/>
      <c r="F52" s="55"/>
      <c r="G52" s="55"/>
      <c r="H52" s="55"/>
      <c r="I52" s="55"/>
      <c r="J52" s="55"/>
      <c r="K52" s="55"/>
      <c r="L52" s="51"/>
      <c r="M52" s="51"/>
      <c r="N52" s="51"/>
      <c r="O52" s="51"/>
    </row>
    <row r="53" spans="1:15" s="34" customFormat="1" ht="13.5">
      <c r="B53" s="34" t="s">
        <v>37</v>
      </c>
      <c r="K53" s="51"/>
      <c r="L53" s="51"/>
      <c r="M53" s="51"/>
      <c r="N53" s="51"/>
    </row>
    <row r="54" spans="1:15" s="34" customFormat="1" ht="13.5">
      <c r="B54" s="34" t="s">
        <v>38</v>
      </c>
    </row>
    <row r="55" spans="1:15" s="34" customFormat="1" ht="12"/>
    <row r="56" spans="1:15" s="34" customFormat="1" ht="12">
      <c r="B56" s="33" t="s">
        <v>27</v>
      </c>
    </row>
    <row r="57" spans="1:15">
      <c r="B57" s="34" t="s">
        <v>59</v>
      </c>
    </row>
  </sheetData>
  <mergeCells count="2">
    <mergeCell ref="A1:M1"/>
    <mergeCell ref="A2:M2"/>
  </mergeCells>
  <phoneticPr fontId="3" type="noConversion"/>
  <pageMargins left="0.75" right="0.75" top="1" bottom="1" header="0.5" footer="0.5"/>
  <pageSetup scale="70" orientation="portrait"/>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2014-11-20T18:43:15+00:00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33C5759576ED84DB9151A5871DF9DE1" ma:contentTypeVersion="18" ma:contentTypeDescription="Create a new document." ma:contentTypeScope="" ma:versionID="29695dca10846b5487f9c4c66d29723b">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50d72e6c-d395-4887-b8d1-0a008e0da19f" targetNamespace="http://schemas.microsoft.com/office/2006/metadata/properties" ma:root="true" ma:fieldsID="20938d556f51ab5dc6f76fe082d9c07f" ns1:_="" ns3:_="" ns4:_="" ns5:_="" ns6:_="">
    <xsd:import namespace="http://schemas.microsoft.com/sharepoint/v3"/>
    <xsd:import namespace="4ffa91fb-a0ff-4ac5-b2db-65c790d184a4"/>
    <xsd:import namespace="http://schemas.microsoft.com/sharepoint.v3"/>
    <xsd:import namespace="http://schemas.microsoft.com/sharepoint/v3/fields"/>
    <xsd:import namespace="50d72e6c-d395-4887-b8d1-0a008e0da19f"/>
    <xsd:element name="properties">
      <xsd:complexType>
        <xsd:sequence>
          <xsd:element name="documentManagement">
            <xsd:complexType>
              <xsd:all>
                <xsd:element ref="ns3:Document_x0020_Creation_x0020_Date" minOccurs="0"/>
                <xsd:element ref="ns3:Creator" minOccurs="0"/>
                <xsd:element ref="ns3:EPA_x0020_Office" minOccurs="0"/>
                <xsd:element ref="ns3:Record"/>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93223e-1350-4ffd-a51d-a02750f92ecb}" ma:internalName="TaxCatchAllLabel" ma:readOnly="true" ma:showField="CatchAllDataLabel" ma:web="50d72e6c-d395-4887-b8d1-0a008e0da19f">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93223e-1350-4ffd-a51d-a02750f92ecb}" ma:internalName="TaxCatchAll" ma:showField="CatchAllData" ma:web="50d72e6c-d395-4887-b8d1-0a008e0da1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2e6c-d395-4887-b8d1-0a008e0da19f"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E58A5-FD24-42FB-9635-6BD431F749DB}">
  <ds:schemaRefs>
    <ds:schemaRef ds:uri="Microsoft.SharePoint.Taxonomy.ContentTypeSync"/>
  </ds:schemaRefs>
</ds:datastoreItem>
</file>

<file path=customXml/itemProps2.xml><?xml version="1.0" encoding="utf-8"?>
<ds:datastoreItem xmlns:ds="http://schemas.openxmlformats.org/officeDocument/2006/customXml" ds:itemID="{27C3D89B-A08B-4B9B-A192-F77E3188ECA3}">
  <ds:schemaRefs>
    <ds:schemaRef ds:uri="http://schemas.microsoft.com/sharepoint/v3/contenttype/forms"/>
  </ds:schemaRefs>
</ds:datastoreItem>
</file>

<file path=customXml/itemProps3.xml><?xml version="1.0" encoding="utf-8"?>
<ds:datastoreItem xmlns:ds="http://schemas.openxmlformats.org/officeDocument/2006/customXml" ds:itemID="{00018991-041E-45F5-8CD9-2BC3217EC217}">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s>
</ds:datastoreItem>
</file>

<file path=customXml/itemProps4.xml><?xml version="1.0" encoding="utf-8"?>
<ds:datastoreItem xmlns:ds="http://schemas.openxmlformats.org/officeDocument/2006/customXml" ds:itemID="{826F8F6C-00A4-474F-B61A-7D9A9957C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0d72e6c-d395-4887-b8d1-0a008e0da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Inputs</vt:lpstr>
      <vt:lpstr>Output</vt:lpstr>
      <vt:lpstr>Dry Cleaner</vt:lpstr>
      <vt:lpstr>Boiler</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EPA</cp:lastModifiedBy>
  <cp:lastPrinted>2013-03-28T21:24:08Z</cp:lastPrinted>
  <dcterms:created xsi:type="dcterms:W3CDTF">2007-09-11T16:38:45Z</dcterms:created>
  <dcterms:modified xsi:type="dcterms:W3CDTF">2015-03-23T19:49:17Z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y fmtid="{D5CDD505-2E9C-101B-9397-08002B2CF9AE}" pid="7" name="ContentTypeId">
    <vt:lpwstr>0x010100633C5759576ED84DB9151A5871DF9DE1</vt:lpwstr>
  </property>
  <property fmtid="{D5CDD505-2E9C-101B-9397-08002B2CF9AE}" pid="8" name="IsMyDocuments">
    <vt:bool>true</vt:bool>
  </property>
</Properties>
</file>